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TM GO BK\1. BOUWINFRA BOL 4\3. Lesmateriaal theorievakken\Constructieleer\Constructieleer infra\BOL-BBL 2e jaar\P8 Beheer &amp; Onderhoud\"/>
    </mc:Choice>
  </mc:AlternateContent>
  <workbookProtection workbookPassword="D929" lockStructure="1"/>
  <bookViews>
    <workbookView xWindow="0" yWindow="30" windowWidth="17370" windowHeight="10890" tabRatio="892"/>
  </bookViews>
  <sheets>
    <sheet name="Samenvatting" sheetId="1" r:id="rId1"/>
    <sheet name="Input" sheetId="18" r:id="rId2"/>
    <sheet name="Gebruiksaanwijzing" sheetId="22" r:id="rId3"/>
    <sheet name="Voorb. werkzaamheden" sheetId="21" r:id="rId4"/>
    <sheet name="Grondwerk" sheetId="11" r:id="rId5"/>
    <sheet name="Riolering" sheetId="15" r:id="rId6"/>
    <sheet name="Fundering" sheetId="17" r:id="rId7"/>
    <sheet name="Verharding" sheetId="13" r:id="rId8"/>
    <sheet name="Groen" sheetId="14" r:id="rId9"/>
    <sheet name="Basisgegevens" sheetId="8" r:id="rId10"/>
    <sheet name="Toets" sheetId="9" r:id="rId11"/>
    <sheet name="Picklist" sheetId="19" r:id="rId12"/>
  </sheets>
  <definedNames>
    <definedName name="_xlnm.Print_Area" localSheetId="9">Basisgegevens!$B$9:$P$134</definedName>
    <definedName name="_xlnm.Print_Area" localSheetId="6">Fundering!$B$9:$P$78</definedName>
    <definedName name="_xlnm.Print_Area" localSheetId="2">Gebruiksaanwijzing!#REF!</definedName>
    <definedName name="_xlnm.Print_Area" localSheetId="8">Groen!$B$9:$P$89</definedName>
    <definedName name="_xlnm.Print_Area" localSheetId="4">Grondwerk!$B$9:$P$44</definedName>
    <definedName name="_xlnm.Print_Area" localSheetId="1">Input!$B$9:$P$93</definedName>
    <definedName name="_xlnm.Print_Area" localSheetId="5">Riolering!$B$9:$P$251</definedName>
    <definedName name="_xlnm.Print_Area" localSheetId="0">Samenvatting!$B$10:$P$62</definedName>
    <definedName name="_xlnm.Print_Area" localSheetId="10">Toets!$B$2:$M$21</definedName>
    <definedName name="_xlnm.Print_Area" localSheetId="7">Verharding!$B$9:$P$527</definedName>
    <definedName name="_xlnm.Print_Area" localSheetId="3">'Voorb. werkzaamheden'!$B$9:$P$45</definedName>
    <definedName name="_xlnm.Print_Titles" localSheetId="9">Basisgegevens!$2:$8</definedName>
    <definedName name="_xlnm.Print_Titles" localSheetId="6">Fundering!$2:$8</definedName>
    <definedName name="_xlnm.Print_Titles" localSheetId="2">Gebruiksaanwijzing!#REF!</definedName>
    <definedName name="_xlnm.Print_Titles" localSheetId="8">Groen!$2:$8</definedName>
    <definedName name="_xlnm.Print_Titles" localSheetId="4">Grondwerk!$2:$8</definedName>
    <definedName name="_xlnm.Print_Titles" localSheetId="1">Input!$2:$8</definedName>
    <definedName name="_xlnm.Print_Titles" localSheetId="5">Riolering!$2:$8</definedName>
    <definedName name="_xlnm.Print_Titles" localSheetId="0">Samenvatting!$2:$9</definedName>
    <definedName name="_xlnm.Print_Titles" localSheetId="7">Verharding!$2:$8</definedName>
    <definedName name="_xlnm.Print_Titles" localSheetId="3">'Voorb. werkzaamheden'!$2:$8</definedName>
  </definedNames>
  <calcPr calcId="162913"/>
</workbook>
</file>

<file path=xl/calcChain.xml><?xml version="1.0" encoding="utf-8"?>
<calcChain xmlns="http://schemas.openxmlformats.org/spreadsheetml/2006/main">
  <c r="D6" i="8" l="1"/>
  <c r="D7" i="8"/>
  <c r="D6" i="17"/>
  <c r="D7" i="17"/>
  <c r="K13" i="17"/>
  <c r="K15" i="17" s="1"/>
  <c r="D14" i="17"/>
  <c r="M14" i="17"/>
  <c r="D15" i="17"/>
  <c r="M15" i="17"/>
  <c r="D17" i="17"/>
  <c r="M17" i="17"/>
  <c r="D19" i="17"/>
  <c r="M19" i="17"/>
  <c r="D20" i="17"/>
  <c r="M20" i="17"/>
  <c r="H21" i="17"/>
  <c r="K27" i="17"/>
  <c r="K29" i="17" s="1"/>
  <c r="O29" i="17" s="1"/>
  <c r="D28" i="17"/>
  <c r="M28" i="17"/>
  <c r="D29" i="17"/>
  <c r="M29" i="17"/>
  <c r="D31" i="17"/>
  <c r="M31" i="17"/>
  <c r="D33" i="17"/>
  <c r="M33" i="17"/>
  <c r="D34" i="17"/>
  <c r="M34" i="17"/>
  <c r="H35" i="17"/>
  <c r="K41" i="17"/>
  <c r="K43" i="17" s="1"/>
  <c r="D42" i="17"/>
  <c r="M42" i="17"/>
  <c r="D43" i="17"/>
  <c r="M43" i="17"/>
  <c r="D45" i="17"/>
  <c r="M45" i="17"/>
  <c r="D47" i="17"/>
  <c r="M47" i="17"/>
  <c r="D48" i="17"/>
  <c r="M48" i="17"/>
  <c r="H49" i="17"/>
  <c r="K55" i="17"/>
  <c r="D56" i="17"/>
  <c r="M56" i="17"/>
  <c r="D57" i="17"/>
  <c r="M57" i="17"/>
  <c r="D59" i="17"/>
  <c r="M59" i="17"/>
  <c r="D61" i="17"/>
  <c r="M61" i="17"/>
  <c r="D62" i="17"/>
  <c r="M62" i="17"/>
  <c r="H63" i="17"/>
  <c r="K69" i="17"/>
  <c r="D70" i="17"/>
  <c r="M70" i="17"/>
  <c r="D71" i="17"/>
  <c r="M71" i="17"/>
  <c r="D73" i="17"/>
  <c r="M73" i="17"/>
  <c r="D75" i="17"/>
  <c r="M75" i="17"/>
  <c r="D76" i="17"/>
  <c r="M76" i="17"/>
  <c r="H77" i="17"/>
  <c r="D6" i="22"/>
  <c r="D7" i="22"/>
  <c r="D6" i="14"/>
  <c r="D7" i="14"/>
  <c r="K14" i="14"/>
  <c r="D15" i="14"/>
  <c r="M15" i="14"/>
  <c r="D16" i="14"/>
  <c r="K16" i="14"/>
  <c r="M16" i="14"/>
  <c r="D17" i="14"/>
  <c r="M17" i="14"/>
  <c r="D19" i="14"/>
  <c r="M19" i="14"/>
  <c r="D21" i="14"/>
  <c r="M21" i="14"/>
  <c r="H22" i="14"/>
  <c r="K29" i="14"/>
  <c r="D30" i="14"/>
  <c r="M30" i="14"/>
  <c r="D31" i="14"/>
  <c r="M31" i="14"/>
  <c r="D32" i="14"/>
  <c r="M32" i="14"/>
  <c r="D34" i="14"/>
  <c r="M34" i="14"/>
  <c r="D36" i="14"/>
  <c r="M36" i="14"/>
  <c r="H37" i="14"/>
  <c r="K44" i="14"/>
  <c r="D45" i="14"/>
  <c r="M45" i="14"/>
  <c r="D46" i="14"/>
  <c r="M46" i="14"/>
  <c r="D48" i="14"/>
  <c r="M48" i="14"/>
  <c r="D50" i="14"/>
  <c r="M50" i="14"/>
  <c r="H51" i="14"/>
  <c r="K57" i="14"/>
  <c r="D58" i="14"/>
  <c r="M58" i="14"/>
  <c r="K66" i="14"/>
  <c r="K72" i="14" s="1"/>
  <c r="D67" i="14"/>
  <c r="M67" i="14"/>
  <c r="D68" i="14"/>
  <c r="M68" i="14"/>
  <c r="D70" i="14"/>
  <c r="M70" i="14"/>
  <c r="D72" i="14"/>
  <c r="M72" i="14"/>
  <c r="H73" i="14"/>
  <c r="K80" i="14"/>
  <c r="K87" i="14" s="1"/>
  <c r="O87" i="14" s="1"/>
  <c r="D81" i="14"/>
  <c r="K81" i="14"/>
  <c r="M81" i="14"/>
  <c r="D83" i="14"/>
  <c r="K83" i="14"/>
  <c r="M83" i="14"/>
  <c r="D85" i="14"/>
  <c r="K85" i="14"/>
  <c r="M85" i="14"/>
  <c r="D87" i="14"/>
  <c r="M87" i="14"/>
  <c r="H88" i="14"/>
  <c r="K88" i="14"/>
  <c r="D6" i="11"/>
  <c r="D7" i="11"/>
  <c r="K13" i="11"/>
  <c r="K18" i="11" s="1"/>
  <c r="D14" i="11"/>
  <c r="M14" i="11"/>
  <c r="D15" i="11"/>
  <c r="M15" i="11"/>
  <c r="D17" i="11"/>
  <c r="I17" i="11"/>
  <c r="M17" i="11"/>
  <c r="D18" i="11"/>
  <c r="M18" i="11"/>
  <c r="K25" i="11"/>
  <c r="D26" i="11"/>
  <c r="M26" i="11"/>
  <c r="D27" i="11"/>
  <c r="M27" i="11"/>
  <c r="D29" i="11"/>
  <c r="I29" i="11"/>
  <c r="M29" i="11"/>
  <c r="D30" i="11"/>
  <c r="M30" i="11"/>
  <c r="K37" i="11"/>
  <c r="D38" i="11"/>
  <c r="M38" i="11"/>
  <c r="D39" i="11"/>
  <c r="M39" i="11"/>
  <c r="D41" i="11"/>
  <c r="I41" i="11"/>
  <c r="M41" i="11"/>
  <c r="D42" i="11"/>
  <c r="M42" i="11"/>
  <c r="D6" i="18"/>
  <c r="D7" i="18"/>
  <c r="J104" i="18"/>
  <c r="I38" i="1" s="1"/>
  <c r="J105" i="18"/>
  <c r="I39" i="1" s="1"/>
  <c r="D6" i="15"/>
  <c r="D7" i="15"/>
  <c r="K14" i="15"/>
  <c r="D15" i="15"/>
  <c r="M15" i="15"/>
  <c r="D16" i="15"/>
  <c r="M16" i="15"/>
  <c r="D18" i="15"/>
  <c r="M18" i="15"/>
  <c r="D19" i="15"/>
  <c r="M19" i="15"/>
  <c r="D21" i="15"/>
  <c r="M21" i="15"/>
  <c r="D23" i="15"/>
  <c r="M23" i="15"/>
  <c r="D25" i="15"/>
  <c r="I25" i="15"/>
  <c r="M25" i="15"/>
  <c r="D26" i="15"/>
  <c r="M26" i="15"/>
  <c r="K34" i="15"/>
  <c r="K36" i="15" s="1"/>
  <c r="D35" i="15"/>
  <c r="M35" i="15"/>
  <c r="D36" i="15"/>
  <c r="M36" i="15"/>
  <c r="D38" i="15"/>
  <c r="K38" i="15"/>
  <c r="M38" i="15"/>
  <c r="D39" i="15"/>
  <c r="K39" i="15"/>
  <c r="O39" i="15" s="1"/>
  <c r="M39" i="15"/>
  <c r="D41" i="15"/>
  <c r="M41" i="15"/>
  <c r="D43" i="15"/>
  <c r="M43" i="15"/>
  <c r="D45" i="15"/>
  <c r="I45" i="15"/>
  <c r="M45" i="15"/>
  <c r="D46" i="15"/>
  <c r="K46" i="15"/>
  <c r="K45" i="15" s="1"/>
  <c r="O45" i="15" s="1"/>
  <c r="M46" i="15"/>
  <c r="K47" i="15"/>
  <c r="K54" i="15"/>
  <c r="D55" i="15"/>
  <c r="M55" i="15"/>
  <c r="D56" i="15"/>
  <c r="M56" i="15"/>
  <c r="D58" i="15"/>
  <c r="M58" i="15"/>
  <c r="D60" i="15"/>
  <c r="M60" i="15"/>
  <c r="D62" i="15"/>
  <c r="M62" i="15"/>
  <c r="D63" i="15"/>
  <c r="M63" i="15"/>
  <c r="D64" i="15"/>
  <c r="M64" i="15"/>
  <c r="D65" i="15"/>
  <c r="M65" i="15"/>
  <c r="D67" i="15"/>
  <c r="M67" i="15"/>
  <c r="D68" i="15"/>
  <c r="M68" i="15"/>
  <c r="D69" i="15"/>
  <c r="I69" i="15"/>
  <c r="M69" i="15"/>
  <c r="D71" i="15"/>
  <c r="M71" i="15"/>
  <c r="D73" i="15"/>
  <c r="I73" i="15"/>
  <c r="M73" i="15"/>
  <c r="D74" i="15"/>
  <c r="M74" i="15"/>
  <c r="K82" i="15"/>
  <c r="K86" i="15" s="1"/>
  <c r="O86" i="15" s="1"/>
  <c r="D83" i="15"/>
  <c r="M83" i="15"/>
  <c r="D84" i="15"/>
  <c r="M84" i="15"/>
  <c r="D86" i="15"/>
  <c r="M86" i="15"/>
  <c r="D88" i="15"/>
  <c r="M88" i="15"/>
  <c r="D90" i="15"/>
  <c r="M90" i="15"/>
  <c r="D91" i="15"/>
  <c r="M91" i="15"/>
  <c r="D92" i="15"/>
  <c r="M92" i="15"/>
  <c r="D93" i="15"/>
  <c r="M93" i="15"/>
  <c r="D95" i="15"/>
  <c r="M95" i="15"/>
  <c r="D96" i="15"/>
  <c r="M96" i="15"/>
  <c r="D97" i="15"/>
  <c r="I97" i="15"/>
  <c r="M97" i="15"/>
  <c r="D99" i="15"/>
  <c r="M99" i="15"/>
  <c r="D101" i="15"/>
  <c r="I101" i="15"/>
  <c r="M101" i="15"/>
  <c r="D102" i="15"/>
  <c r="M102" i="15"/>
  <c r="K110" i="15"/>
  <c r="K121" i="15" s="1"/>
  <c r="O121" i="15" s="1"/>
  <c r="D111" i="15"/>
  <c r="K111" i="15"/>
  <c r="O111" i="15" s="1"/>
  <c r="M111" i="15"/>
  <c r="D112" i="15"/>
  <c r="K112" i="15"/>
  <c r="M112" i="15"/>
  <c r="D114" i="15"/>
  <c r="K114" i="15"/>
  <c r="M114" i="15"/>
  <c r="D116" i="15"/>
  <c r="M116" i="15"/>
  <c r="D118" i="15"/>
  <c r="M118" i="15"/>
  <c r="D119" i="15"/>
  <c r="M119" i="15"/>
  <c r="D120" i="15"/>
  <c r="M120" i="15"/>
  <c r="D121" i="15"/>
  <c r="M121" i="15"/>
  <c r="K123" i="15"/>
  <c r="O123" i="15" s="1"/>
  <c r="D124" i="15"/>
  <c r="M124" i="15"/>
  <c r="D125" i="15"/>
  <c r="I125" i="15"/>
  <c r="M125" i="15"/>
  <c r="D127" i="15"/>
  <c r="M127" i="15"/>
  <c r="D129" i="15"/>
  <c r="I129" i="15"/>
  <c r="M129" i="15"/>
  <c r="D130" i="15"/>
  <c r="M130" i="15"/>
  <c r="K138" i="15"/>
  <c r="K155" i="15" s="1"/>
  <c r="D139" i="15"/>
  <c r="D140" i="15"/>
  <c r="M140" i="15"/>
  <c r="D142" i="15"/>
  <c r="M142" i="15"/>
  <c r="D144" i="15"/>
  <c r="M144" i="15"/>
  <c r="D146" i="15"/>
  <c r="M146" i="15"/>
  <c r="D147" i="15"/>
  <c r="M147" i="15"/>
  <c r="D148" i="15"/>
  <c r="M148" i="15"/>
  <c r="D149" i="15"/>
  <c r="K149" i="15"/>
  <c r="M149" i="15"/>
  <c r="D151" i="15"/>
  <c r="D152" i="15"/>
  <c r="K152" i="15"/>
  <c r="M152" i="15"/>
  <c r="D153" i="15"/>
  <c r="I153" i="15"/>
  <c r="M153" i="15"/>
  <c r="D155" i="15"/>
  <c r="M155" i="15"/>
  <c r="D157" i="15"/>
  <c r="I157" i="15"/>
  <c r="M157" i="15"/>
  <c r="D158" i="15"/>
  <c r="M158" i="15"/>
  <c r="K166" i="15"/>
  <c r="D167" i="15"/>
  <c r="M167" i="15"/>
  <c r="D168" i="15"/>
  <c r="M168" i="15"/>
  <c r="D170" i="15"/>
  <c r="M170" i="15"/>
  <c r="D172" i="15"/>
  <c r="M172" i="15"/>
  <c r="D174" i="15"/>
  <c r="M174" i="15"/>
  <c r="D175" i="15"/>
  <c r="M175" i="15"/>
  <c r="D176" i="15"/>
  <c r="M176" i="15"/>
  <c r="D177" i="15"/>
  <c r="M177" i="15"/>
  <c r="D179" i="15"/>
  <c r="M179" i="15"/>
  <c r="D180" i="15"/>
  <c r="M180" i="15"/>
  <c r="D181" i="15"/>
  <c r="I181" i="15"/>
  <c r="M181" i="15"/>
  <c r="D183" i="15"/>
  <c r="M183" i="15"/>
  <c r="D185" i="15"/>
  <c r="I185" i="15"/>
  <c r="M185" i="15"/>
  <c r="D186" i="15"/>
  <c r="M186" i="15"/>
  <c r="K194" i="15"/>
  <c r="D195" i="15"/>
  <c r="M195" i="15"/>
  <c r="D196" i="15"/>
  <c r="M196" i="15"/>
  <c r="D198" i="15"/>
  <c r="M198" i="15"/>
  <c r="D200" i="15"/>
  <c r="M200" i="15"/>
  <c r="D202" i="15"/>
  <c r="K202" i="15"/>
  <c r="O202" i="15" s="1"/>
  <c r="M202" i="15"/>
  <c r="D204" i="15"/>
  <c r="M204" i="15"/>
  <c r="K212" i="15"/>
  <c r="D213" i="15"/>
  <c r="M213" i="15"/>
  <c r="D214" i="15"/>
  <c r="K214" i="15"/>
  <c r="O214" i="15" s="1"/>
  <c r="M214" i="15"/>
  <c r="D216" i="15"/>
  <c r="M216" i="15"/>
  <c r="D218" i="15"/>
  <c r="M218" i="15"/>
  <c r="D220" i="15"/>
  <c r="M220" i="15"/>
  <c r="D222" i="15"/>
  <c r="M222" i="15"/>
  <c r="K230" i="15"/>
  <c r="D231" i="15"/>
  <c r="M231" i="15"/>
  <c r="D233" i="15"/>
  <c r="M233" i="15"/>
  <c r="D235" i="15"/>
  <c r="M235" i="15"/>
  <c r="K243" i="15"/>
  <c r="D244" i="15"/>
  <c r="M244" i="15"/>
  <c r="D245" i="15"/>
  <c r="M245" i="15"/>
  <c r="D247" i="15"/>
  <c r="D249" i="15"/>
  <c r="M249" i="15"/>
  <c r="K250" i="15"/>
  <c r="G56" i="1"/>
  <c r="I56" i="1"/>
  <c r="K56" i="1"/>
  <c r="M56" i="1"/>
  <c r="O56" i="1"/>
  <c r="G57" i="1"/>
  <c r="I57" i="1"/>
  <c r="K57" i="1"/>
  <c r="M57" i="1"/>
  <c r="O57" i="1"/>
  <c r="G58" i="1"/>
  <c r="I58" i="1"/>
  <c r="K58" i="1"/>
  <c r="M58" i="1"/>
  <c r="O58" i="1"/>
  <c r="G59" i="1"/>
  <c r="I59" i="1"/>
  <c r="K59" i="1"/>
  <c r="M59" i="1"/>
  <c r="O59" i="1"/>
  <c r="D6" i="9"/>
  <c r="D7" i="9"/>
  <c r="K13" i="9"/>
  <c r="L13" i="9"/>
  <c r="M13" i="9" s="1"/>
  <c r="K15" i="9"/>
  <c r="L15" i="9"/>
  <c r="M15" i="9" s="1"/>
  <c r="K17" i="9"/>
  <c r="L17" i="9"/>
  <c r="M17" i="9" s="1"/>
  <c r="K19" i="9"/>
  <c r="L19" i="9"/>
  <c r="M19" i="9" s="1"/>
  <c r="K21" i="9"/>
  <c r="L21" i="9"/>
  <c r="M21" i="9" s="1"/>
  <c r="D6" i="13"/>
  <c r="D7" i="13"/>
  <c r="K14" i="13"/>
  <c r="D15" i="13"/>
  <c r="M15" i="13"/>
  <c r="D16" i="13"/>
  <c r="M16" i="13"/>
  <c r="D17" i="13"/>
  <c r="M17" i="13"/>
  <c r="D19" i="13"/>
  <c r="M19" i="13"/>
  <c r="D20" i="13"/>
  <c r="M20" i="13"/>
  <c r="D22" i="13"/>
  <c r="I22" i="13"/>
  <c r="M22" i="13"/>
  <c r="D23" i="13"/>
  <c r="M23" i="13"/>
  <c r="D25" i="13"/>
  <c r="I25" i="13"/>
  <c r="M25" i="13"/>
  <c r="D26" i="13"/>
  <c r="M26" i="13"/>
  <c r="H27" i="13"/>
  <c r="K34" i="13"/>
  <c r="K36" i="13" s="1"/>
  <c r="D35" i="13"/>
  <c r="M35" i="13"/>
  <c r="D36" i="13"/>
  <c r="M36" i="13"/>
  <c r="D37" i="13"/>
  <c r="K37" i="13"/>
  <c r="M37" i="13"/>
  <c r="D39" i="13"/>
  <c r="M39" i="13"/>
  <c r="D40" i="13"/>
  <c r="M40" i="13"/>
  <c r="D42" i="13"/>
  <c r="I42" i="13"/>
  <c r="M42" i="13"/>
  <c r="D43" i="13"/>
  <c r="K43" i="13"/>
  <c r="K42" i="13" s="1"/>
  <c r="O42" i="13" s="1"/>
  <c r="M43" i="13"/>
  <c r="D45" i="13"/>
  <c r="I45" i="13"/>
  <c r="M45" i="13"/>
  <c r="D46" i="13"/>
  <c r="M46" i="13"/>
  <c r="H47" i="13"/>
  <c r="K47" i="13"/>
  <c r="K54" i="13"/>
  <c r="K62" i="13" s="1"/>
  <c r="D55" i="13"/>
  <c r="M55" i="13"/>
  <c r="D56" i="13"/>
  <c r="M56" i="13"/>
  <c r="D58" i="13"/>
  <c r="M58" i="13"/>
  <c r="D59" i="13"/>
  <c r="M59" i="13"/>
  <c r="D61" i="13"/>
  <c r="I61" i="13"/>
  <c r="M61" i="13"/>
  <c r="D62" i="13"/>
  <c r="M62" i="13"/>
  <c r="H63" i="13"/>
  <c r="K70" i="13"/>
  <c r="K72" i="13" s="1"/>
  <c r="D71" i="13"/>
  <c r="K71" i="13"/>
  <c r="O71" i="13" s="1"/>
  <c r="M71" i="13"/>
  <c r="D72" i="13"/>
  <c r="M72" i="13"/>
  <c r="D74" i="13"/>
  <c r="K74" i="13"/>
  <c r="M74" i="13"/>
  <c r="D75" i="13"/>
  <c r="K75" i="13"/>
  <c r="O75" i="13" s="1"/>
  <c r="M75" i="13"/>
  <c r="H76" i="13"/>
  <c r="K76" i="13"/>
  <c r="K83" i="13"/>
  <c r="D84" i="13"/>
  <c r="M84" i="13"/>
  <c r="D85" i="13"/>
  <c r="M85" i="13"/>
  <c r="D87" i="13"/>
  <c r="M87" i="13"/>
  <c r="D88" i="13"/>
  <c r="M88" i="13"/>
  <c r="D90" i="13"/>
  <c r="I90" i="13"/>
  <c r="M90" i="13"/>
  <c r="D91" i="13"/>
  <c r="K91" i="13"/>
  <c r="K90" i="13" s="1"/>
  <c r="M91" i="13"/>
  <c r="H92" i="13"/>
  <c r="K92" i="13"/>
  <c r="K99" i="13"/>
  <c r="D100" i="13"/>
  <c r="M100" i="13"/>
  <c r="D101" i="13"/>
  <c r="M101" i="13"/>
  <c r="D102" i="13"/>
  <c r="M102" i="13"/>
  <c r="D103" i="13"/>
  <c r="M103" i="13"/>
  <c r="D104" i="13"/>
  <c r="M104" i="13"/>
  <c r="D105" i="13"/>
  <c r="M105" i="13"/>
  <c r="D107" i="13"/>
  <c r="M107" i="13"/>
  <c r="D109" i="13"/>
  <c r="M109" i="13"/>
  <c r="D111" i="13"/>
  <c r="K111" i="13"/>
  <c r="M111" i="13"/>
  <c r="D113" i="13"/>
  <c r="M113" i="13"/>
  <c r="D115" i="13"/>
  <c r="M115" i="13"/>
  <c r="D117" i="13"/>
  <c r="M117" i="13"/>
  <c r="D118" i="13"/>
  <c r="M118" i="13"/>
  <c r="D119" i="13"/>
  <c r="M119" i="13"/>
  <c r="D120" i="13"/>
  <c r="M120" i="13"/>
  <c r="D121" i="13"/>
  <c r="M121" i="13"/>
  <c r="D122" i="13"/>
  <c r="M122" i="13"/>
  <c r="D124" i="13"/>
  <c r="M124" i="13"/>
  <c r="D126" i="13"/>
  <c r="M126" i="13"/>
  <c r="D128" i="13"/>
  <c r="M128" i="13"/>
  <c r="D130" i="13"/>
  <c r="M130" i="13"/>
  <c r="D132" i="13"/>
  <c r="K132" i="13"/>
  <c r="M132" i="13"/>
  <c r="D134" i="13"/>
  <c r="M134" i="13"/>
  <c r="D135" i="13"/>
  <c r="M135" i="13"/>
  <c r="D136" i="13"/>
  <c r="M136" i="13"/>
  <c r="D137" i="13"/>
  <c r="M137" i="13"/>
  <c r="D138" i="13"/>
  <c r="M138" i="13"/>
  <c r="D139" i="13"/>
  <c r="M139" i="13"/>
  <c r="D141" i="13"/>
  <c r="K141" i="13"/>
  <c r="K137" i="13" s="1"/>
  <c r="M141" i="13"/>
  <c r="D143" i="13"/>
  <c r="M143" i="13"/>
  <c r="D145" i="13"/>
  <c r="M145" i="13"/>
  <c r="D147" i="13"/>
  <c r="K147" i="13"/>
  <c r="M147" i="13"/>
  <c r="D148" i="13"/>
  <c r="M148" i="13"/>
  <c r="D150" i="13"/>
  <c r="M150" i="13"/>
  <c r="D151" i="13"/>
  <c r="K151" i="13"/>
  <c r="M151" i="13"/>
  <c r="D152" i="13"/>
  <c r="M152" i="13"/>
  <c r="D153" i="13"/>
  <c r="M153" i="13"/>
  <c r="D155" i="13"/>
  <c r="K155" i="13"/>
  <c r="M155" i="13"/>
  <c r="D157" i="13"/>
  <c r="M157" i="13"/>
  <c r="D159" i="13"/>
  <c r="M159" i="13"/>
  <c r="H160" i="13"/>
  <c r="K167" i="13"/>
  <c r="K169" i="13" s="1"/>
  <c r="D168" i="13"/>
  <c r="K168" i="13"/>
  <c r="O168" i="13" s="1"/>
  <c r="M168" i="13"/>
  <c r="D169" i="13"/>
  <c r="M169" i="13"/>
  <c r="D170" i="13"/>
  <c r="K170" i="13"/>
  <c r="M170" i="13"/>
  <c r="D171" i="13"/>
  <c r="M171" i="13"/>
  <c r="D172" i="13"/>
  <c r="M172" i="13"/>
  <c r="D173" i="13"/>
  <c r="K173" i="13"/>
  <c r="M173" i="13"/>
  <c r="S174" i="13"/>
  <c r="D175" i="13"/>
  <c r="K175" i="13"/>
  <c r="M175" i="13"/>
  <c r="D176" i="13"/>
  <c r="K176" i="13"/>
  <c r="M176" i="13"/>
  <c r="D178" i="13"/>
  <c r="M178" i="13"/>
  <c r="D180" i="13"/>
  <c r="S173" i="13" s="1"/>
  <c r="M180" i="13"/>
  <c r="D182" i="13"/>
  <c r="M182" i="13"/>
  <c r="D183" i="13"/>
  <c r="M183" i="13"/>
  <c r="D184" i="13"/>
  <c r="M184" i="13"/>
  <c r="D185" i="13"/>
  <c r="M185" i="13"/>
  <c r="D187" i="13"/>
  <c r="S177" i="13" s="1"/>
  <c r="M187" i="13"/>
  <c r="D189" i="13"/>
  <c r="S181" i="13" s="1"/>
  <c r="M189" i="13"/>
  <c r="D191" i="13"/>
  <c r="S185" i="13" s="1"/>
  <c r="M191" i="13"/>
  <c r="H192" i="13"/>
  <c r="K199" i="13"/>
  <c r="S208" i="13" s="1"/>
  <c r="D200" i="13"/>
  <c r="M200" i="13"/>
  <c r="D201" i="13"/>
  <c r="M201" i="13"/>
  <c r="D202" i="13"/>
  <c r="M202" i="13"/>
  <c r="D203" i="13"/>
  <c r="M203" i="13"/>
  <c r="D204" i="13"/>
  <c r="M204" i="13"/>
  <c r="D205" i="13"/>
  <c r="M205" i="13"/>
  <c r="D207" i="13"/>
  <c r="M207" i="13"/>
  <c r="D208" i="13"/>
  <c r="K208" i="13"/>
  <c r="M208" i="13"/>
  <c r="D210" i="13"/>
  <c r="M210" i="13"/>
  <c r="D212" i="13"/>
  <c r="S206" i="13" s="1"/>
  <c r="M212" i="13"/>
  <c r="D213" i="13"/>
  <c r="S210" i="13" s="1"/>
  <c r="M213" i="13"/>
  <c r="D215" i="13"/>
  <c r="M215" i="13"/>
  <c r="D216" i="13"/>
  <c r="M216" i="13"/>
  <c r="D217" i="13"/>
  <c r="M217" i="13"/>
  <c r="D218" i="13"/>
  <c r="M218" i="13"/>
  <c r="S219" i="13"/>
  <c r="D220" i="13"/>
  <c r="S214" i="13" s="1"/>
  <c r="M220" i="13"/>
  <c r="D222" i="13"/>
  <c r="S218" i="13" s="1"/>
  <c r="M222" i="13"/>
  <c r="D224" i="13"/>
  <c r="S222" i="13" s="1"/>
  <c r="M224" i="13"/>
  <c r="S224" i="13"/>
  <c r="H225" i="13"/>
  <c r="K232" i="13"/>
  <c r="K240" i="13" s="1"/>
  <c r="D233" i="13"/>
  <c r="M233" i="13"/>
  <c r="D234" i="13"/>
  <c r="K234" i="13"/>
  <c r="M234" i="13"/>
  <c r="D235" i="13"/>
  <c r="M235" i="13"/>
  <c r="D236" i="13"/>
  <c r="M236" i="13"/>
  <c r="D237" i="13"/>
  <c r="M237" i="13"/>
  <c r="D238" i="13"/>
  <c r="M238" i="13"/>
  <c r="D240" i="13"/>
  <c r="M240" i="13"/>
  <c r="D241" i="13"/>
  <c r="M241" i="13"/>
  <c r="D243" i="13"/>
  <c r="M243" i="13"/>
  <c r="D245" i="13"/>
  <c r="S238" i="13" s="1"/>
  <c r="M245" i="13"/>
  <c r="D247" i="13"/>
  <c r="M247" i="13"/>
  <c r="D248" i="13"/>
  <c r="M248" i="13"/>
  <c r="D249" i="13"/>
  <c r="M249" i="13"/>
  <c r="D250" i="13"/>
  <c r="M250" i="13"/>
  <c r="D252" i="13"/>
  <c r="S242" i="13" s="1"/>
  <c r="M252" i="13"/>
  <c r="D254" i="13"/>
  <c r="S246" i="13" s="1"/>
  <c r="M254" i="13"/>
  <c r="D256" i="13"/>
  <c r="S250" i="13" s="1"/>
  <c r="M256" i="13"/>
  <c r="D258" i="13"/>
  <c r="M258" i="13"/>
  <c r="D259" i="13"/>
  <c r="M259" i="13"/>
  <c r="D260" i="13"/>
  <c r="M260" i="13"/>
  <c r="D261" i="13"/>
  <c r="M261" i="13"/>
  <c r="D263" i="13"/>
  <c r="S254" i="13" s="1"/>
  <c r="M263" i="13"/>
  <c r="D265" i="13"/>
  <c r="S258" i="13" s="1"/>
  <c r="M265" i="13"/>
  <c r="H266" i="13"/>
  <c r="K273" i="13"/>
  <c r="K277" i="13" s="1"/>
  <c r="O277" i="13" s="1"/>
  <c r="D274" i="13"/>
  <c r="K274" i="13"/>
  <c r="M274" i="13"/>
  <c r="D275" i="13"/>
  <c r="K275" i="13"/>
  <c r="M275" i="13"/>
  <c r="D276" i="13"/>
  <c r="K276" i="13"/>
  <c r="M276" i="13"/>
  <c r="D277" i="13"/>
  <c r="M277" i="13"/>
  <c r="D278" i="13"/>
  <c r="K278" i="13"/>
  <c r="M278" i="13"/>
  <c r="D279" i="13"/>
  <c r="K279" i="13"/>
  <c r="M279" i="13"/>
  <c r="S279" i="13"/>
  <c r="S280" i="13"/>
  <c r="D281" i="13"/>
  <c r="K281" i="13"/>
  <c r="M281" i="13"/>
  <c r="D282" i="13"/>
  <c r="K282" i="13"/>
  <c r="M282" i="13"/>
  <c r="D284" i="13"/>
  <c r="M284" i="13"/>
  <c r="S284" i="13"/>
  <c r="D286" i="13"/>
  <c r="M286" i="13"/>
  <c r="D288" i="13"/>
  <c r="M288" i="13"/>
  <c r="S288" i="13"/>
  <c r="D289" i="13"/>
  <c r="M289" i="13"/>
  <c r="D290" i="13"/>
  <c r="M290" i="13"/>
  <c r="D291" i="13"/>
  <c r="M291" i="13"/>
  <c r="S291" i="13"/>
  <c r="S292" i="13"/>
  <c r="D293" i="13"/>
  <c r="S283" i="13" s="1"/>
  <c r="M293" i="13"/>
  <c r="D295" i="13"/>
  <c r="S287" i="13" s="1"/>
  <c r="M295" i="13"/>
  <c r="D297" i="13"/>
  <c r="M297" i="13"/>
  <c r="D299" i="13"/>
  <c r="M299" i="13"/>
  <c r="D300" i="13"/>
  <c r="M300" i="13"/>
  <c r="D301" i="13"/>
  <c r="K301" i="13"/>
  <c r="M301" i="13"/>
  <c r="D302" i="13"/>
  <c r="K302" i="13"/>
  <c r="M302" i="13"/>
  <c r="D304" i="13"/>
  <c r="S295" i="13" s="1"/>
  <c r="M304" i="13"/>
  <c r="D306" i="13"/>
  <c r="S299" i="13" s="1"/>
  <c r="M306" i="13"/>
  <c r="H307" i="13"/>
  <c r="K307" i="13"/>
  <c r="K314" i="13"/>
  <c r="K315" i="13" s="1"/>
  <c r="D315" i="13"/>
  <c r="M315" i="13"/>
  <c r="D316" i="13"/>
  <c r="M316" i="13"/>
  <c r="D317" i="13"/>
  <c r="M317" i="13"/>
  <c r="D318" i="13"/>
  <c r="M318" i="13"/>
  <c r="D319" i="13"/>
  <c r="M319" i="13"/>
  <c r="D321" i="13"/>
  <c r="M321" i="13"/>
  <c r="D323" i="13"/>
  <c r="M323" i="13"/>
  <c r="D325" i="13"/>
  <c r="M325" i="13"/>
  <c r="D327" i="13"/>
  <c r="M327" i="13"/>
  <c r="D329" i="13"/>
  <c r="M329" i="13"/>
  <c r="D331" i="13"/>
  <c r="M331" i="13"/>
  <c r="D332" i="13"/>
  <c r="M332" i="13"/>
  <c r="D333" i="13"/>
  <c r="M333" i="13"/>
  <c r="D334" i="13"/>
  <c r="M334" i="13"/>
  <c r="D336" i="13"/>
  <c r="M336" i="13"/>
  <c r="D338" i="13"/>
  <c r="M338" i="13"/>
  <c r="D340" i="13"/>
  <c r="M340" i="13"/>
  <c r="D342" i="13"/>
  <c r="M342" i="13"/>
  <c r="D344" i="13"/>
  <c r="M344" i="13"/>
  <c r="D345" i="13"/>
  <c r="M345" i="13"/>
  <c r="D346" i="13"/>
  <c r="M346" i="13"/>
  <c r="D347" i="13"/>
  <c r="M347" i="13"/>
  <c r="D349" i="13"/>
  <c r="M349" i="13"/>
  <c r="H350" i="13"/>
  <c r="K357" i="13"/>
  <c r="K365" i="13" s="1"/>
  <c r="O365" i="13" s="1"/>
  <c r="D358" i="13"/>
  <c r="M358" i="13"/>
  <c r="D359" i="13"/>
  <c r="M359" i="13"/>
  <c r="D360" i="13"/>
  <c r="M360" i="13"/>
  <c r="D361" i="13"/>
  <c r="M361" i="13"/>
  <c r="D362" i="13"/>
  <c r="M362" i="13"/>
  <c r="D363" i="13"/>
  <c r="M363" i="13"/>
  <c r="D365" i="13"/>
  <c r="M365" i="13"/>
  <c r="D366" i="13"/>
  <c r="M366" i="13"/>
  <c r="D368" i="13"/>
  <c r="M368" i="13"/>
  <c r="D370" i="13"/>
  <c r="S363" i="13" s="1"/>
  <c r="M370" i="13"/>
  <c r="D371" i="13"/>
  <c r="S367" i="13" s="1"/>
  <c r="M371" i="13"/>
  <c r="D373" i="13"/>
  <c r="M373" i="13"/>
  <c r="D374" i="13"/>
  <c r="M374" i="13"/>
  <c r="D375" i="13"/>
  <c r="M375" i="13"/>
  <c r="D376" i="13"/>
  <c r="M376" i="13"/>
  <c r="D378" i="13"/>
  <c r="S371" i="13" s="1"/>
  <c r="M378" i="13"/>
  <c r="H379" i="13"/>
  <c r="K386" i="13"/>
  <c r="K387" i="13" s="1"/>
  <c r="D387" i="13"/>
  <c r="M387" i="13"/>
  <c r="D388" i="13"/>
  <c r="M388" i="13"/>
  <c r="D389" i="13"/>
  <c r="M389" i="13"/>
  <c r="D390" i="13"/>
  <c r="M390" i="13"/>
  <c r="D391" i="13"/>
  <c r="K391" i="13"/>
  <c r="M391" i="13"/>
  <c r="D392" i="13"/>
  <c r="M392" i="13"/>
  <c r="D394" i="13"/>
  <c r="M394" i="13"/>
  <c r="D395" i="13"/>
  <c r="M395" i="13"/>
  <c r="D397" i="13"/>
  <c r="M397" i="13"/>
  <c r="D399" i="13"/>
  <c r="S393" i="13" s="1"/>
  <c r="M399" i="13"/>
  <c r="D400" i="13"/>
  <c r="S397" i="13" s="1"/>
  <c r="M400" i="13"/>
  <c r="D402" i="13"/>
  <c r="M402" i="13"/>
  <c r="D403" i="13"/>
  <c r="M403" i="13"/>
  <c r="S403" i="13"/>
  <c r="D404" i="13"/>
  <c r="M404" i="13"/>
  <c r="D405" i="13"/>
  <c r="M405" i="13"/>
  <c r="D407" i="13"/>
  <c r="S401" i="13" s="1"/>
  <c r="M407" i="13"/>
  <c r="H408" i="13"/>
  <c r="K408" i="13"/>
  <c r="K415" i="13"/>
  <c r="K421" i="13" s="1"/>
  <c r="D416" i="13"/>
  <c r="M416" i="13"/>
  <c r="D417" i="13"/>
  <c r="K417" i="13"/>
  <c r="M417" i="13"/>
  <c r="D418" i="13"/>
  <c r="K418" i="13"/>
  <c r="M418" i="13"/>
  <c r="D419" i="13"/>
  <c r="K419" i="13"/>
  <c r="O419" i="13" s="1"/>
  <c r="M419" i="13"/>
  <c r="D420" i="13"/>
  <c r="K420" i="13"/>
  <c r="M420" i="13"/>
  <c r="D421" i="13"/>
  <c r="M421" i="13"/>
  <c r="S421" i="13"/>
  <c r="D423" i="13"/>
  <c r="K423" i="13"/>
  <c r="M423" i="13"/>
  <c r="D424" i="13"/>
  <c r="K424" i="13"/>
  <c r="O424" i="13" s="1"/>
  <c r="M424" i="13"/>
  <c r="S425" i="13"/>
  <c r="D426" i="13"/>
  <c r="K426" i="13"/>
  <c r="M426" i="13"/>
  <c r="D428" i="13"/>
  <c r="S420" i="13" s="1"/>
  <c r="M428" i="13"/>
  <c r="D429" i="13"/>
  <c r="S424" i="13" s="1"/>
  <c r="M429" i="13"/>
  <c r="S429" i="13"/>
  <c r="D430" i="13"/>
  <c r="S428" i="13" s="1"/>
  <c r="M430" i="13"/>
  <c r="D432" i="13"/>
  <c r="K432" i="13"/>
  <c r="O432" i="13" s="1"/>
  <c r="M432" i="13"/>
  <c r="D433" i="13"/>
  <c r="M433" i="13"/>
  <c r="S433" i="13"/>
  <c r="D434" i="13"/>
  <c r="K434" i="13"/>
  <c r="M434" i="13"/>
  <c r="D435" i="13"/>
  <c r="K435" i="13"/>
  <c r="M435" i="13"/>
  <c r="D436" i="13"/>
  <c r="K436" i="13"/>
  <c r="O436" i="13" s="1"/>
  <c r="M436" i="13"/>
  <c r="D437" i="13"/>
  <c r="M437" i="13"/>
  <c r="S437" i="13"/>
  <c r="D439" i="13"/>
  <c r="K439" i="13"/>
  <c r="M439" i="13"/>
  <c r="D440" i="13"/>
  <c r="K440" i="13"/>
  <c r="M440" i="13"/>
  <c r="S441" i="13"/>
  <c r="D442" i="13"/>
  <c r="K442" i="13"/>
  <c r="O442" i="13" s="1"/>
  <c r="M442" i="13"/>
  <c r="D444" i="13"/>
  <c r="S432" i="13" s="1"/>
  <c r="M444" i="13"/>
  <c r="D445" i="13"/>
  <c r="S436" i="13" s="1"/>
  <c r="M445" i="13"/>
  <c r="S445" i="13"/>
  <c r="D446" i="13"/>
  <c r="S440" i="13" s="1"/>
  <c r="M446" i="13"/>
  <c r="D448" i="13"/>
  <c r="M448" i="13"/>
  <c r="D449" i="13"/>
  <c r="M449" i="13"/>
  <c r="D450" i="13"/>
  <c r="M450" i="13"/>
  <c r="D451" i="13"/>
  <c r="M451" i="13"/>
  <c r="D453" i="13"/>
  <c r="S444" i="13" s="1"/>
  <c r="M453" i="13"/>
  <c r="D455" i="13"/>
  <c r="K455" i="13"/>
  <c r="M455" i="13"/>
  <c r="D457" i="13"/>
  <c r="K457" i="13"/>
  <c r="M457" i="13"/>
  <c r="H459" i="13"/>
  <c r="K459" i="13"/>
  <c r="K466" i="13"/>
  <c r="K493" i="13" s="1"/>
  <c r="D467" i="13"/>
  <c r="M467" i="13"/>
  <c r="D468" i="13"/>
  <c r="M468" i="13"/>
  <c r="D469" i="13"/>
  <c r="M469" i="13"/>
  <c r="D470" i="13"/>
  <c r="M470" i="13"/>
  <c r="D471" i="13"/>
  <c r="M471" i="13"/>
  <c r="D472" i="13"/>
  <c r="M472" i="13"/>
  <c r="D474" i="13"/>
  <c r="M474" i="13"/>
  <c r="D475" i="13"/>
  <c r="M475" i="13"/>
  <c r="S475" i="13"/>
  <c r="D477" i="13"/>
  <c r="K477" i="13"/>
  <c r="M477" i="13"/>
  <c r="D479" i="13"/>
  <c r="S471" i="13" s="1"/>
  <c r="M479" i="13"/>
  <c r="S479" i="13"/>
  <c r="D480" i="13"/>
  <c r="M480" i="13"/>
  <c r="D481" i="13"/>
  <c r="M481" i="13"/>
  <c r="D483" i="13"/>
  <c r="M483" i="13"/>
  <c r="D484" i="13"/>
  <c r="M484" i="13"/>
  <c r="D485" i="13"/>
  <c r="M485" i="13"/>
  <c r="D486" i="13"/>
  <c r="K486" i="13"/>
  <c r="M486" i="13"/>
  <c r="D487" i="13"/>
  <c r="M487" i="13"/>
  <c r="S487" i="13"/>
  <c r="D488" i="13"/>
  <c r="M488" i="13"/>
  <c r="D490" i="13"/>
  <c r="K490" i="13"/>
  <c r="M490" i="13"/>
  <c r="D491" i="13"/>
  <c r="M491" i="13"/>
  <c r="S491" i="13"/>
  <c r="D493" i="13"/>
  <c r="M493" i="13"/>
  <c r="D495" i="13"/>
  <c r="S483" i="13" s="1"/>
  <c r="M495" i="13"/>
  <c r="D496" i="13"/>
  <c r="M496" i="13"/>
  <c r="D497" i="13"/>
  <c r="M497" i="13"/>
  <c r="D499" i="13"/>
  <c r="M499" i="13"/>
  <c r="D500" i="13"/>
  <c r="M500" i="13"/>
  <c r="D501" i="13"/>
  <c r="M501" i="13"/>
  <c r="D502" i="13"/>
  <c r="M502" i="13"/>
  <c r="D504" i="13"/>
  <c r="S495" i="13" s="1"/>
  <c r="M504" i="13"/>
  <c r="D506" i="13"/>
  <c r="M506" i="13"/>
  <c r="D508" i="13"/>
  <c r="M508" i="13"/>
  <c r="H509" i="13"/>
  <c r="K516" i="13"/>
  <c r="D518" i="13"/>
  <c r="M518" i="13"/>
  <c r="D520" i="13"/>
  <c r="M520" i="13"/>
  <c r="D521" i="13"/>
  <c r="M521" i="13"/>
  <c r="D523" i="13"/>
  <c r="M523" i="13"/>
  <c r="D525" i="13"/>
  <c r="M525" i="13"/>
  <c r="H526" i="13"/>
  <c r="D6" i="21"/>
  <c r="D7" i="21"/>
  <c r="K15" i="21"/>
  <c r="K70" i="14" l="1"/>
  <c r="O70" i="14" s="1"/>
  <c r="K92" i="15"/>
  <c r="O92" i="15" s="1"/>
  <c r="S395" i="13"/>
  <c r="S396" i="13" s="1"/>
  <c r="K399" i="13" s="1"/>
  <c r="O399" i="13" s="1"/>
  <c r="S394" i="13"/>
  <c r="S398" i="13"/>
  <c r="K389" i="13"/>
  <c r="S399" i="13"/>
  <c r="S400" i="13" s="1"/>
  <c r="K400" i="13" s="1"/>
  <c r="O400" i="13" s="1"/>
  <c r="K395" i="13"/>
  <c r="K394" i="13"/>
  <c r="K390" i="13"/>
  <c r="K17" i="17"/>
  <c r="O17" i="17" s="1"/>
  <c r="K19" i="17"/>
  <c r="O19" i="17" s="1"/>
  <c r="K14" i="17"/>
  <c r="K20" i="17"/>
  <c r="O20" i="17" s="1"/>
  <c r="S301" i="13"/>
  <c r="S302" i="13" s="1"/>
  <c r="K306" i="13" s="1"/>
  <c r="O306" i="13" s="1"/>
  <c r="S300" i="13"/>
  <c r="K299" i="13"/>
  <c r="O299" i="13" s="1"/>
  <c r="S296" i="13"/>
  <c r="K266" i="13"/>
  <c r="S251" i="13"/>
  <c r="K237" i="13"/>
  <c r="K45" i="17"/>
  <c r="O45" i="17" s="1"/>
  <c r="K47" i="17"/>
  <c r="O47" i="17" s="1"/>
  <c r="O90" i="13"/>
  <c r="K58" i="13"/>
  <c r="K63" i="13"/>
  <c r="K59" i="13"/>
  <c r="O59" i="13" s="1"/>
  <c r="K55" i="13"/>
  <c r="O55" i="13" s="1"/>
  <c r="K19" i="11"/>
  <c r="K474" i="13"/>
  <c r="O474" i="13" s="1"/>
  <c r="O434" i="13"/>
  <c r="O395" i="13"/>
  <c r="O394" i="13"/>
  <c r="K261" i="13"/>
  <c r="O261" i="13" s="1"/>
  <c r="S256" i="13"/>
  <c r="K243" i="13"/>
  <c r="O243" i="13" s="1"/>
  <c r="K241" i="13"/>
  <c r="O241" i="13" s="1"/>
  <c r="K95" i="15"/>
  <c r="O95" i="15" s="1"/>
  <c r="K88" i="15"/>
  <c r="K15" i="11"/>
  <c r="O15" i="11" s="1"/>
  <c r="O72" i="14"/>
  <c r="O420" i="13"/>
  <c r="K416" i="13"/>
  <c r="O416" i="13" s="1"/>
  <c r="O301" i="13"/>
  <c r="O282" i="13"/>
  <c r="S252" i="13"/>
  <c r="S253" i="13" s="1"/>
  <c r="K256" i="13" s="1"/>
  <c r="O256" i="13" s="1"/>
  <c r="S244" i="13"/>
  <c r="K238" i="13"/>
  <c r="K235" i="13"/>
  <c r="O235" i="13" s="1"/>
  <c r="K172" i="13"/>
  <c r="O172" i="13" s="1"/>
  <c r="O91" i="13"/>
  <c r="K56" i="13"/>
  <c r="K35" i="13"/>
  <c r="O35" i="13" s="1"/>
  <c r="M61" i="1"/>
  <c r="O152" i="15"/>
  <c r="O149" i="15"/>
  <c r="O46" i="15"/>
  <c r="K41" i="15"/>
  <c r="K35" i="15"/>
  <c r="K67" i="14"/>
  <c r="O67" i="14" s="1"/>
  <c r="K48" i="17"/>
  <c r="O48" i="17" s="1"/>
  <c r="K42" i="17"/>
  <c r="O42" i="17" s="1"/>
  <c r="K21" i="17"/>
  <c r="O387" i="13"/>
  <c r="S255" i="13"/>
  <c r="K40" i="13"/>
  <c r="K140" i="15"/>
  <c r="K125" i="15"/>
  <c r="O125" i="15" s="1"/>
  <c r="K124" i="15"/>
  <c r="O124" i="15" s="1"/>
  <c r="K43" i="15"/>
  <c r="O43" i="15" s="1"/>
  <c r="K14" i="11"/>
  <c r="K73" i="14"/>
  <c r="K68" i="14"/>
  <c r="O68" i="14" s="1"/>
  <c r="K49" i="17"/>
  <c r="O152" i="13"/>
  <c r="K115" i="13"/>
  <c r="O115" i="13" s="1"/>
  <c r="K148" i="13"/>
  <c r="K153" i="13"/>
  <c r="O153" i="13" s="1"/>
  <c r="K160" i="13"/>
  <c r="K223" i="15"/>
  <c r="K213" i="15"/>
  <c r="K220" i="15"/>
  <c r="K42" i="11"/>
  <c r="K41" i="11" s="1"/>
  <c r="O41" i="11" s="1"/>
  <c r="K39" i="11"/>
  <c r="O39" i="11" s="1"/>
  <c r="K38" i="11"/>
  <c r="O38" i="11" s="1"/>
  <c r="K27" i="11"/>
  <c r="O27" i="11" s="1"/>
  <c r="K26" i="11"/>
  <c r="O26" i="11" s="1"/>
  <c r="K15" i="14"/>
  <c r="O15" i="14" s="1"/>
  <c r="K21" i="14"/>
  <c r="O21" i="14" s="1"/>
  <c r="K19" i="14"/>
  <c r="O19" i="14" s="1"/>
  <c r="O455" i="13"/>
  <c r="O417" i="13"/>
  <c r="O281" i="13"/>
  <c r="O278" i="13"/>
  <c r="O274" i="13"/>
  <c r="K236" i="13"/>
  <c r="O236" i="13" s="1"/>
  <c r="K259" i="13"/>
  <c r="O259" i="13" s="1"/>
  <c r="K260" i="13"/>
  <c r="O260" i="13" s="1"/>
  <c r="K157" i="13"/>
  <c r="O157" i="13" s="1"/>
  <c r="K152" i="13"/>
  <c r="K113" i="13"/>
  <c r="K107" i="13"/>
  <c r="K103" i="13" s="1"/>
  <c r="O103" i="13" s="1"/>
  <c r="O72" i="13"/>
  <c r="O76" i="13" s="1"/>
  <c r="M76" i="13" s="1"/>
  <c r="O56" i="13"/>
  <c r="O46" i="13"/>
  <c r="K222" i="15"/>
  <c r="O222" i="15" s="1"/>
  <c r="K216" i="15"/>
  <c r="O216" i="15" s="1"/>
  <c r="K205" i="15"/>
  <c r="K196" i="15"/>
  <c r="O196" i="15" s="1"/>
  <c r="O205" i="15" s="1"/>
  <c r="M205" i="15" s="1"/>
  <c r="K204" i="15"/>
  <c r="O204" i="15" s="1"/>
  <c r="O140" i="15"/>
  <c r="K157" i="15"/>
  <c r="O157" i="15" s="1"/>
  <c r="O112" i="15"/>
  <c r="O88" i="15"/>
  <c r="K31" i="11"/>
  <c r="K17" i="14"/>
  <c r="O17" i="14" s="1"/>
  <c r="K28" i="17"/>
  <c r="O28" i="17" s="1"/>
  <c r="K34" i="17"/>
  <c r="O34" i="17" s="1"/>
  <c r="K33" i="17"/>
  <c r="O33" i="17" s="1"/>
  <c r="O14" i="17"/>
  <c r="O490" i="13"/>
  <c r="O486" i="13"/>
  <c r="O457" i="13"/>
  <c r="O279" i="13"/>
  <c r="O275" i="13"/>
  <c r="S247" i="13"/>
  <c r="S243" i="13"/>
  <c r="K225" i="13"/>
  <c r="S220" i="13"/>
  <c r="S221" i="13" s="1"/>
  <c r="K222" i="13" s="1"/>
  <c r="K217" i="13" s="1"/>
  <c r="O217" i="13" s="1"/>
  <c r="S216" i="13"/>
  <c r="S217" i="13" s="1"/>
  <c r="K220" i="13" s="1"/>
  <c r="O220" i="13" s="1"/>
  <c r="S212" i="13"/>
  <c r="O169" i="13"/>
  <c r="K159" i="13"/>
  <c r="O159" i="13" s="1"/>
  <c r="K128" i="13"/>
  <c r="G61" i="1"/>
  <c r="K218" i="15"/>
  <c r="K198" i="15"/>
  <c r="O198" i="15" s="1"/>
  <c r="O114" i="15"/>
  <c r="K116" i="15"/>
  <c r="O116" i="15" s="1"/>
  <c r="K120" i="15"/>
  <c r="O120" i="15" s="1"/>
  <c r="K131" i="15"/>
  <c r="K84" i="15"/>
  <c r="O84" i="15" s="1"/>
  <c r="K91" i="15"/>
  <c r="K96" i="15"/>
  <c r="O96" i="15" s="1"/>
  <c r="K103" i="15"/>
  <c r="K83" i="15"/>
  <c r="O83" i="15" s="1"/>
  <c r="K43" i="11"/>
  <c r="K22" i="14"/>
  <c r="K31" i="17"/>
  <c r="O31" i="17" s="1"/>
  <c r="K388" i="13"/>
  <c r="O388" i="13" s="1"/>
  <c r="K392" i="13"/>
  <c r="O392" i="13" s="1"/>
  <c r="K397" i="13"/>
  <c r="O397" i="13" s="1"/>
  <c r="S402" i="13"/>
  <c r="S404" i="13" s="1"/>
  <c r="K407" i="13" s="1"/>
  <c r="S260" i="13"/>
  <c r="S261" i="13" s="1"/>
  <c r="K265" i="13" s="1"/>
  <c r="O265" i="13" s="1"/>
  <c r="S259" i="13"/>
  <c r="K258" i="13"/>
  <c r="O258" i="13" s="1"/>
  <c r="S248" i="13"/>
  <c r="S249" i="13" s="1"/>
  <c r="K254" i="13" s="1"/>
  <c r="K249" i="13" s="1"/>
  <c r="O249" i="13" s="1"/>
  <c r="S240" i="13"/>
  <c r="S241" i="13" s="1"/>
  <c r="K245" i="13" s="1"/>
  <c r="O245" i="13" s="1"/>
  <c r="S239" i="13"/>
  <c r="O234" i="13"/>
  <c r="K233" i="13"/>
  <c r="O233" i="13" s="1"/>
  <c r="S223" i="13"/>
  <c r="S225" i="13" s="1"/>
  <c r="K224" i="13" s="1"/>
  <c r="O224" i="13" s="1"/>
  <c r="K207" i="13"/>
  <c r="O207" i="13" s="1"/>
  <c r="O176" i="13"/>
  <c r="O173" i="13"/>
  <c r="O170" i="13"/>
  <c r="K171" i="13"/>
  <c r="O171" i="13" s="1"/>
  <c r="S182" i="13"/>
  <c r="S186" i="13"/>
  <c r="K192" i="13"/>
  <c r="O151" i="13"/>
  <c r="K150" i="13"/>
  <c r="O150" i="13" s="1"/>
  <c r="O147" i="13"/>
  <c r="K145" i="13"/>
  <c r="O145" i="13" s="1"/>
  <c r="K130" i="13"/>
  <c r="O130" i="13" s="1"/>
  <c r="K124" i="13"/>
  <c r="K117" i="13" s="1"/>
  <c r="O117" i="13" s="1"/>
  <c r="O111" i="13"/>
  <c r="O43" i="13"/>
  <c r="K39" i="13"/>
  <c r="O39" i="13" s="1"/>
  <c r="K46" i="13"/>
  <c r="K45" i="13" s="1"/>
  <c r="O45" i="13" s="1"/>
  <c r="O220" i="15"/>
  <c r="K200" i="15"/>
  <c r="O200" i="15" s="1"/>
  <c r="K195" i="15"/>
  <c r="O195" i="15" s="1"/>
  <c r="K139" i="15"/>
  <c r="O139" i="15" s="1"/>
  <c r="K127" i="15"/>
  <c r="K130" i="15" s="1"/>
  <c r="O130" i="15" s="1"/>
  <c r="K119" i="15"/>
  <c r="O119" i="15" s="1"/>
  <c r="K93" i="15"/>
  <c r="O93" i="15" s="1"/>
  <c r="O35" i="15"/>
  <c r="K30" i="11"/>
  <c r="K35" i="17"/>
  <c r="O83" i="14"/>
  <c r="O43" i="17"/>
  <c r="O15" i="17"/>
  <c r="O440" i="13"/>
  <c r="O426" i="13"/>
  <c r="O423" i="13"/>
  <c r="O418" i="13"/>
  <c r="O421" i="13"/>
  <c r="O389" i="13"/>
  <c r="O315" i="13"/>
  <c r="O276" i="13"/>
  <c r="O240" i="13"/>
  <c r="O175" i="13"/>
  <c r="O128" i="13"/>
  <c r="O74" i="13"/>
  <c r="O58" i="13"/>
  <c r="K45" i="14"/>
  <c r="O45" i="14" s="1"/>
  <c r="K46" i="14"/>
  <c r="O46" i="14" s="1"/>
  <c r="K48" i="14"/>
  <c r="O48" i="14" s="1"/>
  <c r="K50" i="14"/>
  <c r="O50" i="14" s="1"/>
  <c r="K51" i="14"/>
  <c r="K467" i="13"/>
  <c r="O467" i="13" s="1"/>
  <c r="K468" i="13"/>
  <c r="O468" i="13" s="1"/>
  <c r="K469" i="13"/>
  <c r="O469" i="13" s="1"/>
  <c r="K470" i="13"/>
  <c r="O470" i="13" s="1"/>
  <c r="K471" i="13"/>
  <c r="O471" i="13" s="1"/>
  <c r="S472" i="13"/>
  <c r="K475" i="13"/>
  <c r="O475" i="13" s="1"/>
  <c r="S476" i="13"/>
  <c r="S480" i="13"/>
  <c r="K483" i="13"/>
  <c r="O483" i="13" s="1"/>
  <c r="S484" i="13"/>
  <c r="K487" i="13"/>
  <c r="O487" i="13" s="1"/>
  <c r="S488" i="13"/>
  <c r="K491" i="13"/>
  <c r="O491" i="13" s="1"/>
  <c r="S492" i="13"/>
  <c r="S496" i="13"/>
  <c r="K506" i="13"/>
  <c r="O506" i="13" s="1"/>
  <c r="K508" i="13"/>
  <c r="O508" i="13" s="1"/>
  <c r="K509" i="13"/>
  <c r="K472" i="13"/>
  <c r="O472" i="13" s="1"/>
  <c r="S473" i="13"/>
  <c r="S477" i="13"/>
  <c r="S478" i="13" s="1"/>
  <c r="K480" i="13" s="1"/>
  <c r="O480" i="13" s="1"/>
  <c r="S481" i="13"/>
  <c r="K484" i="13"/>
  <c r="O484" i="13" s="1"/>
  <c r="S485" i="13"/>
  <c r="S486" i="13" s="1"/>
  <c r="K495" i="13" s="1"/>
  <c r="O495" i="13" s="1"/>
  <c r="K488" i="13"/>
  <c r="O488" i="13" s="1"/>
  <c r="S489" i="13"/>
  <c r="S490" i="13" s="1"/>
  <c r="K496" i="13" s="1"/>
  <c r="O496" i="13" s="1"/>
  <c r="S493" i="13"/>
  <c r="S494" i="13" s="1"/>
  <c r="K497" i="13" s="1"/>
  <c r="O497" i="13" s="1"/>
  <c r="S497" i="13"/>
  <c r="S498" i="13" s="1"/>
  <c r="K504" i="13" s="1"/>
  <c r="O435" i="13"/>
  <c r="O390" i="13"/>
  <c r="O302" i="13"/>
  <c r="K135" i="13"/>
  <c r="O135" i="13" s="1"/>
  <c r="K139" i="13"/>
  <c r="O139" i="13" s="1"/>
  <c r="K136" i="13"/>
  <c r="O136" i="13" s="1"/>
  <c r="K134" i="13"/>
  <c r="O134" i="13" s="1"/>
  <c r="K138" i="13"/>
  <c r="O138" i="13" s="1"/>
  <c r="K143" i="13"/>
  <c r="O143" i="13" s="1"/>
  <c r="K485" i="13"/>
  <c r="O485" i="13" s="1"/>
  <c r="O439" i="13"/>
  <c r="O391" i="13"/>
  <c r="K366" i="13"/>
  <c r="O366" i="13" s="1"/>
  <c r="K358" i="13"/>
  <c r="O358" i="13" s="1"/>
  <c r="K359" i="13"/>
  <c r="O359" i="13" s="1"/>
  <c r="K360" i="13"/>
  <c r="O360" i="13" s="1"/>
  <c r="K361" i="13"/>
  <c r="O361" i="13" s="1"/>
  <c r="K362" i="13"/>
  <c r="O362" i="13" s="1"/>
  <c r="K363" i="13"/>
  <c r="O363" i="13" s="1"/>
  <c r="S364" i="13"/>
  <c r="S368" i="13"/>
  <c r="S372" i="13"/>
  <c r="K379" i="13"/>
  <c r="S365" i="13"/>
  <c r="S366" i="13" s="1"/>
  <c r="K370" i="13" s="1"/>
  <c r="O370" i="13" s="1"/>
  <c r="K368" i="13"/>
  <c r="O368" i="13" s="1"/>
  <c r="S369" i="13"/>
  <c r="S373" i="13"/>
  <c r="S374" i="13" s="1"/>
  <c r="K378" i="13" s="1"/>
  <c r="K518" i="13"/>
  <c r="O518" i="13" s="1"/>
  <c r="K520" i="13"/>
  <c r="O520" i="13" s="1"/>
  <c r="K521" i="13"/>
  <c r="O521" i="13" s="1"/>
  <c r="K523" i="13"/>
  <c r="O523" i="13" s="1"/>
  <c r="K525" i="13"/>
  <c r="O525" i="13" s="1"/>
  <c r="K526" i="13"/>
  <c r="O493" i="13"/>
  <c r="O477" i="13"/>
  <c r="K23" i="13"/>
  <c r="K15" i="13"/>
  <c r="O15" i="13" s="1"/>
  <c r="K16" i="13"/>
  <c r="O16" i="13" s="1"/>
  <c r="K17" i="13"/>
  <c r="O17" i="13" s="1"/>
  <c r="K19" i="13"/>
  <c r="O19" i="13" s="1"/>
  <c r="K20" i="13"/>
  <c r="O20" i="13" s="1"/>
  <c r="K26" i="13"/>
  <c r="K25" i="13" s="1"/>
  <c r="O25" i="13" s="1"/>
  <c r="K27" i="13"/>
  <c r="K236" i="15"/>
  <c r="K231" i="15"/>
  <c r="O231" i="15" s="1"/>
  <c r="K233" i="15"/>
  <c r="O233" i="15" s="1"/>
  <c r="K235" i="15"/>
  <c r="O235" i="15" s="1"/>
  <c r="O237" i="13"/>
  <c r="O155" i="13"/>
  <c r="O26" i="13"/>
  <c r="K181" i="15"/>
  <c r="O181" i="15" s="1"/>
  <c r="K183" i="15"/>
  <c r="K187" i="15"/>
  <c r="K167" i="15"/>
  <c r="O167" i="15" s="1"/>
  <c r="K168" i="15"/>
  <c r="O168" i="15" s="1"/>
  <c r="K170" i="15"/>
  <c r="O170" i="15" s="1"/>
  <c r="K172" i="15"/>
  <c r="O172" i="15" s="1"/>
  <c r="K175" i="15"/>
  <c r="K176" i="15"/>
  <c r="O176" i="15" s="1"/>
  <c r="K177" i="15"/>
  <c r="O177" i="15" s="1"/>
  <c r="K179" i="15"/>
  <c r="O179" i="15" s="1"/>
  <c r="K180" i="15"/>
  <c r="O180" i="15" s="1"/>
  <c r="K27" i="15"/>
  <c r="K15" i="15"/>
  <c r="O15" i="15" s="1"/>
  <c r="K16" i="15"/>
  <c r="O16" i="15" s="1"/>
  <c r="K18" i="15"/>
  <c r="O18" i="15" s="1"/>
  <c r="K19" i="15"/>
  <c r="O19" i="15" s="1"/>
  <c r="K21" i="15"/>
  <c r="O21" i="15" s="1"/>
  <c r="K23" i="15"/>
  <c r="O23" i="15" s="1"/>
  <c r="K26" i="15"/>
  <c r="O238" i="13"/>
  <c r="O155" i="15"/>
  <c r="K158" i="15"/>
  <c r="O158" i="15" s="1"/>
  <c r="K142" i="15"/>
  <c r="O142" i="15" s="1"/>
  <c r="K148" i="15"/>
  <c r="O148" i="15" s="1"/>
  <c r="K159" i="15"/>
  <c r="K147" i="15"/>
  <c r="K151" i="15"/>
  <c r="O151" i="15" s="1"/>
  <c r="K153" i="15"/>
  <c r="O153" i="15" s="1"/>
  <c r="K144" i="15"/>
  <c r="O144" i="15" s="1"/>
  <c r="S446" i="13"/>
  <c r="S447" i="13" s="1"/>
  <c r="K453" i="13" s="1"/>
  <c r="S442" i="13"/>
  <c r="S443" i="13" s="1"/>
  <c r="K446" i="13" s="1"/>
  <c r="O446" i="13" s="1"/>
  <c r="S438" i="13"/>
  <c r="S439" i="13" s="1"/>
  <c r="K445" i="13" s="1"/>
  <c r="O445" i="13" s="1"/>
  <c r="K437" i="13"/>
  <c r="O437" i="13" s="1"/>
  <c r="S434" i="13"/>
  <c r="S435" i="13" s="1"/>
  <c r="K444" i="13" s="1"/>
  <c r="O444" i="13" s="1"/>
  <c r="K433" i="13"/>
  <c r="O433" i="13" s="1"/>
  <c r="S430" i="13"/>
  <c r="S431" i="13" s="1"/>
  <c r="K430" i="13" s="1"/>
  <c r="O430" i="13" s="1"/>
  <c r="S426" i="13"/>
  <c r="S427" i="13" s="1"/>
  <c r="K429" i="13" s="1"/>
  <c r="O429" i="13" s="1"/>
  <c r="S422" i="13"/>
  <c r="S423" i="13" s="1"/>
  <c r="K428" i="13" s="1"/>
  <c r="O428" i="13" s="1"/>
  <c r="K350" i="13"/>
  <c r="K349" i="13"/>
  <c r="K342" i="13"/>
  <c r="O342" i="13" s="1"/>
  <c r="K340" i="13"/>
  <c r="O340" i="13" s="1"/>
  <c r="K336" i="13"/>
  <c r="K334" i="13"/>
  <c r="O334" i="13" s="1"/>
  <c r="K333" i="13"/>
  <c r="O333" i="13" s="1"/>
  <c r="K332" i="13"/>
  <c r="O332" i="13" s="1"/>
  <c r="K331" i="13"/>
  <c r="O331" i="13" s="1"/>
  <c r="K329" i="13"/>
  <c r="O329" i="13" s="1"/>
  <c r="K327" i="13"/>
  <c r="O327" i="13" s="1"/>
  <c r="K325" i="13"/>
  <c r="O325" i="13" s="1"/>
  <c r="K321" i="13"/>
  <c r="K319" i="13"/>
  <c r="O319" i="13" s="1"/>
  <c r="K318" i="13"/>
  <c r="O318" i="13" s="1"/>
  <c r="K317" i="13"/>
  <c r="O317" i="13" s="1"/>
  <c r="K316" i="13"/>
  <c r="O316" i="13" s="1"/>
  <c r="S281" i="13"/>
  <c r="S282" i="13" s="1"/>
  <c r="K286" i="13" s="1"/>
  <c r="O286" i="13" s="1"/>
  <c r="K284" i="13"/>
  <c r="O284" i="13" s="1"/>
  <c r="S285" i="13"/>
  <c r="S286" i="13" s="1"/>
  <c r="K293" i="13" s="1"/>
  <c r="O293" i="13" s="1"/>
  <c r="S289" i="13"/>
  <c r="S290" i="13" s="1"/>
  <c r="K295" i="13" s="1"/>
  <c r="S293" i="13"/>
  <c r="S294" i="13" s="1"/>
  <c r="K297" i="13" s="1"/>
  <c r="O297" i="13" s="1"/>
  <c r="S297" i="13"/>
  <c r="S298" i="13" s="1"/>
  <c r="K304" i="13" s="1"/>
  <c r="O304" i="13" s="1"/>
  <c r="K300" i="13"/>
  <c r="O300" i="13" s="1"/>
  <c r="O208" i="13"/>
  <c r="O40" i="13"/>
  <c r="S175" i="13"/>
  <c r="S176" i="13" s="1"/>
  <c r="K180" i="13" s="1"/>
  <c r="O180" i="13" s="1"/>
  <c r="K178" i="13"/>
  <c r="O178" i="13" s="1"/>
  <c r="S179" i="13"/>
  <c r="S180" i="13" s="1"/>
  <c r="K187" i="13" s="1"/>
  <c r="O187" i="13" s="1"/>
  <c r="S183" i="13"/>
  <c r="S184" i="13" s="1"/>
  <c r="K189" i="13" s="1"/>
  <c r="S187" i="13"/>
  <c r="S188" i="13" s="1"/>
  <c r="K191" i="13" s="1"/>
  <c r="O191" i="13" s="1"/>
  <c r="S178" i="13"/>
  <c r="O137" i="13"/>
  <c r="K120" i="13"/>
  <c r="O120" i="13" s="1"/>
  <c r="K61" i="13"/>
  <c r="O61" i="13" s="1"/>
  <c r="I61" i="1"/>
  <c r="O41" i="15"/>
  <c r="K200" i="13"/>
  <c r="O200" i="13" s="1"/>
  <c r="K201" i="13"/>
  <c r="O201" i="13" s="1"/>
  <c r="K202" i="13"/>
  <c r="O202" i="13" s="1"/>
  <c r="K203" i="13"/>
  <c r="O203" i="13" s="1"/>
  <c r="K204" i="13"/>
  <c r="O204" i="13" s="1"/>
  <c r="K205" i="13"/>
  <c r="O205" i="13" s="1"/>
  <c r="S207" i="13"/>
  <c r="S209" i="13" s="1"/>
  <c r="K212" i="13" s="1"/>
  <c r="O212" i="13" s="1"/>
  <c r="K210" i="13"/>
  <c r="O210" i="13" s="1"/>
  <c r="S211" i="13"/>
  <c r="S215" i="13"/>
  <c r="O148" i="13"/>
  <c r="O141" i="13"/>
  <c r="O36" i="13"/>
  <c r="K249" i="15"/>
  <c r="O249" i="15" s="1"/>
  <c r="K244" i="15"/>
  <c r="O244" i="15" s="1"/>
  <c r="K245" i="15"/>
  <c r="O245" i="15" s="1"/>
  <c r="K247" i="15"/>
  <c r="O247" i="15" s="1"/>
  <c r="O213" i="15"/>
  <c r="K69" i="15"/>
  <c r="O69" i="15" s="1"/>
  <c r="K71" i="15"/>
  <c r="K75" i="15"/>
  <c r="K55" i="15"/>
  <c r="O55" i="15" s="1"/>
  <c r="K56" i="15"/>
  <c r="O56" i="15" s="1"/>
  <c r="K58" i="15"/>
  <c r="O58" i="15" s="1"/>
  <c r="K60" i="15"/>
  <c r="O60" i="15" s="1"/>
  <c r="K63" i="15"/>
  <c r="K64" i="15"/>
  <c r="O64" i="15" s="1"/>
  <c r="K65" i="15"/>
  <c r="O65" i="15" s="1"/>
  <c r="K67" i="15"/>
  <c r="O67" i="15" s="1"/>
  <c r="K68" i="15"/>
  <c r="O68" i="15" s="1"/>
  <c r="O18" i="11"/>
  <c r="K17" i="11"/>
  <c r="O17" i="11" s="1"/>
  <c r="K70" i="17"/>
  <c r="O70" i="17" s="1"/>
  <c r="K71" i="17"/>
  <c r="O71" i="17" s="1"/>
  <c r="K73" i="17"/>
  <c r="O73" i="17" s="1"/>
  <c r="K75" i="17"/>
  <c r="O75" i="17" s="1"/>
  <c r="K76" i="17"/>
  <c r="O76" i="17" s="1"/>
  <c r="K77" i="17"/>
  <c r="O132" i="13"/>
  <c r="O113" i="13"/>
  <c r="K84" i="13"/>
  <c r="O84" i="13" s="1"/>
  <c r="K85" i="13"/>
  <c r="O85" i="13" s="1"/>
  <c r="K87" i="13"/>
  <c r="O87" i="13" s="1"/>
  <c r="K88" i="13"/>
  <c r="O88" i="13" s="1"/>
  <c r="O62" i="13"/>
  <c r="O37" i="13"/>
  <c r="K61" i="1"/>
  <c r="O218" i="15"/>
  <c r="K97" i="15"/>
  <c r="O97" i="15" s="1"/>
  <c r="K59" i="14"/>
  <c r="K58" i="14"/>
  <c r="O58" i="14" s="1"/>
  <c r="O59" i="14" s="1"/>
  <c r="M59" i="14" s="1"/>
  <c r="K30" i="14"/>
  <c r="K31" i="14"/>
  <c r="O31" i="14" s="1"/>
  <c r="K32" i="14"/>
  <c r="O32" i="14" s="1"/>
  <c r="K34" i="14"/>
  <c r="O34" i="14" s="1"/>
  <c r="K37" i="14"/>
  <c r="K99" i="15"/>
  <c r="O36" i="15"/>
  <c r="O14" i="11"/>
  <c r="O85" i="14"/>
  <c r="K56" i="17"/>
  <c r="O56" i="17" s="1"/>
  <c r="K57" i="17"/>
  <c r="O57" i="17" s="1"/>
  <c r="K59" i="17"/>
  <c r="O59" i="17" s="1"/>
  <c r="K61" i="17"/>
  <c r="O61" i="17" s="1"/>
  <c r="K62" i="17"/>
  <c r="O62" i="17" s="1"/>
  <c r="K63" i="17"/>
  <c r="O38" i="15"/>
  <c r="O81" i="14"/>
  <c r="O16" i="14"/>
  <c r="O73" i="14" l="1"/>
  <c r="M73" i="14" s="1"/>
  <c r="O21" i="17"/>
  <c r="K122" i="13"/>
  <c r="O122" i="13" s="1"/>
  <c r="O42" i="11"/>
  <c r="O124" i="13"/>
  <c r="K118" i="13"/>
  <c r="O118" i="13" s="1"/>
  <c r="K109" i="13"/>
  <c r="O109" i="13" s="1"/>
  <c r="K100" i="13"/>
  <c r="O100" i="13" s="1"/>
  <c r="O35" i="17"/>
  <c r="M35" i="17" s="1"/>
  <c r="K216" i="13"/>
  <c r="O216" i="13" s="1"/>
  <c r="K402" i="13"/>
  <c r="O402" i="13" s="1"/>
  <c r="O407" i="13"/>
  <c r="K405" i="13"/>
  <c r="O405" i="13" s="1"/>
  <c r="K403" i="13"/>
  <c r="O403" i="13" s="1"/>
  <c r="K404" i="13"/>
  <c r="O404" i="13" s="1"/>
  <c r="O127" i="15"/>
  <c r="S370" i="13"/>
  <c r="K371" i="13" s="1"/>
  <c r="O371" i="13" s="1"/>
  <c r="S482" i="13"/>
  <c r="K481" i="13" s="1"/>
  <c r="O481" i="13" s="1"/>
  <c r="O49" i="17"/>
  <c r="M49" i="17" s="1"/>
  <c r="S213" i="13"/>
  <c r="K213" i="13" s="1"/>
  <c r="O213" i="13" s="1"/>
  <c r="K129" i="15"/>
  <c r="O129" i="15" s="1"/>
  <c r="K247" i="13"/>
  <c r="O247" i="13" s="1"/>
  <c r="S474" i="13"/>
  <c r="K479" i="13" s="1"/>
  <c r="O479" i="13" s="1"/>
  <c r="E61" i="1"/>
  <c r="N61" i="1" s="1"/>
  <c r="S245" i="13"/>
  <c r="K252" i="13" s="1"/>
  <c r="O252" i="13" s="1"/>
  <c r="S257" i="13"/>
  <c r="K263" i="13" s="1"/>
  <c r="O263" i="13" s="1"/>
  <c r="K248" i="13"/>
  <c r="O248" i="13" s="1"/>
  <c r="O254" i="13"/>
  <c r="O91" i="15"/>
  <c r="K90" i="15"/>
  <c r="O90" i="15" s="1"/>
  <c r="O22" i="14"/>
  <c r="O107" i="13"/>
  <c r="K105" i="13"/>
  <c r="O105" i="13" s="1"/>
  <c r="K215" i="13"/>
  <c r="O215" i="13" s="1"/>
  <c r="K29" i="11"/>
  <c r="O29" i="11" s="1"/>
  <c r="O30" i="11"/>
  <c r="O47" i="15"/>
  <c r="M47" i="15" s="1"/>
  <c r="K118" i="15"/>
  <c r="O118" i="15" s="1"/>
  <c r="K101" i="13"/>
  <c r="O101" i="13" s="1"/>
  <c r="K102" i="13"/>
  <c r="O102" i="13" s="1"/>
  <c r="K250" i="13"/>
  <c r="O250" i="13" s="1"/>
  <c r="K218" i="13"/>
  <c r="O218" i="13" s="1"/>
  <c r="O51" i="14"/>
  <c r="M51" i="14" s="1"/>
  <c r="K121" i="13"/>
  <c r="O121" i="13" s="1"/>
  <c r="K126" i="13"/>
  <c r="O126" i="13" s="1"/>
  <c r="K119" i="13"/>
  <c r="O119" i="13" s="1"/>
  <c r="O43" i="11"/>
  <c r="M43" i="11" s="1"/>
  <c r="O63" i="13"/>
  <c r="M63" i="13" s="1"/>
  <c r="O222" i="13"/>
  <c r="K104" i="13"/>
  <c r="O104" i="13" s="1"/>
  <c r="M22" i="14"/>
  <c r="O47" i="13"/>
  <c r="M47" i="13" s="1"/>
  <c r="O453" i="13"/>
  <c r="K448" i="13"/>
  <c r="O448" i="13" s="1"/>
  <c r="K451" i="13"/>
  <c r="O451" i="13" s="1"/>
  <c r="K450" i="13"/>
  <c r="O450" i="13" s="1"/>
  <c r="K449" i="13"/>
  <c r="O449" i="13" s="1"/>
  <c r="M21" i="17"/>
  <c r="O223" i="15"/>
  <c r="M223" i="15" s="1"/>
  <c r="K182" i="13"/>
  <c r="O182" i="13" s="1"/>
  <c r="O189" i="13"/>
  <c r="K183" i="13"/>
  <c r="O183" i="13" s="1"/>
  <c r="K184" i="13"/>
  <c r="O184" i="13" s="1"/>
  <c r="K185" i="13"/>
  <c r="O185" i="13" s="1"/>
  <c r="K344" i="13"/>
  <c r="O344" i="13" s="1"/>
  <c r="K345" i="13"/>
  <c r="O345" i="13" s="1"/>
  <c r="K346" i="13"/>
  <c r="O346" i="13" s="1"/>
  <c r="K347" i="13"/>
  <c r="O347" i="13" s="1"/>
  <c r="O349" i="13"/>
  <c r="K185" i="15"/>
  <c r="O185" i="15" s="1"/>
  <c r="K186" i="15"/>
  <c r="O186" i="15" s="1"/>
  <c r="O183" i="15"/>
  <c r="K22" i="13"/>
  <c r="O22" i="13" s="1"/>
  <c r="O23" i="13"/>
  <c r="O526" i="13"/>
  <c r="M526" i="13" s="1"/>
  <c r="K374" i="13"/>
  <c r="O374" i="13" s="1"/>
  <c r="K375" i="13"/>
  <c r="O375" i="13" s="1"/>
  <c r="K376" i="13"/>
  <c r="O376" i="13" s="1"/>
  <c r="O378" i="13"/>
  <c r="K373" i="13"/>
  <c r="O373" i="13" s="1"/>
  <c r="K499" i="13"/>
  <c r="O499" i="13" s="1"/>
  <c r="K500" i="13"/>
  <c r="O500" i="13" s="1"/>
  <c r="K501" i="13"/>
  <c r="O501" i="13" s="1"/>
  <c r="K502" i="13"/>
  <c r="O502" i="13" s="1"/>
  <c r="O504" i="13"/>
  <c r="K73" i="15"/>
  <c r="O73" i="15" s="1"/>
  <c r="K74" i="15"/>
  <c r="O74" i="15" s="1"/>
  <c r="O71" i="15"/>
  <c r="L61" i="1"/>
  <c r="H61" i="1"/>
  <c r="K174" i="15"/>
  <c r="O174" i="15" s="1"/>
  <c r="O175" i="15"/>
  <c r="O19" i="11"/>
  <c r="K36" i="14"/>
  <c r="O36" i="14" s="1"/>
  <c r="O30" i="14"/>
  <c r="O236" i="15"/>
  <c r="M236" i="15" s="1"/>
  <c r="O27" i="13"/>
  <c r="O88" i="14"/>
  <c r="M88" i="14" s="1"/>
  <c r="K62" i="15"/>
  <c r="O62" i="15" s="1"/>
  <c r="O63" i="15"/>
  <c r="O250" i="15"/>
  <c r="M250" i="15" s="1"/>
  <c r="O63" i="17"/>
  <c r="M63" i="17" s="1"/>
  <c r="O99" i="15"/>
  <c r="K101" i="15"/>
  <c r="O101" i="15" s="1"/>
  <c r="K102" i="15"/>
  <c r="O102" i="15" s="1"/>
  <c r="O92" i="13"/>
  <c r="M92" i="13" s="1"/>
  <c r="O77" i="17"/>
  <c r="M77" i="17" s="1"/>
  <c r="J61" i="1"/>
  <c r="K288" i="13"/>
  <c r="O288" i="13" s="1"/>
  <c r="K289" i="13"/>
  <c r="O289" i="13" s="1"/>
  <c r="K290" i="13"/>
  <c r="O290" i="13" s="1"/>
  <c r="K291" i="13"/>
  <c r="O291" i="13" s="1"/>
  <c r="O295" i="13"/>
  <c r="K323" i="13"/>
  <c r="O323" i="13" s="1"/>
  <c r="O321" i="13"/>
  <c r="K338" i="13"/>
  <c r="O338" i="13" s="1"/>
  <c r="O336" i="13"/>
  <c r="O147" i="15"/>
  <c r="K146" i="15"/>
  <c r="O146" i="15" s="1"/>
  <c r="O159" i="15" s="1"/>
  <c r="M159" i="15" s="1"/>
  <c r="O26" i="15"/>
  <c r="K25" i="15"/>
  <c r="O25" i="15" s="1"/>
  <c r="O408" i="13" l="1"/>
  <c r="M408" i="13" s="1"/>
  <c r="O266" i="13"/>
  <c r="M266" i="13" s="1"/>
  <c r="O160" i="13"/>
  <c r="M160" i="13" s="1"/>
  <c r="O131" i="15"/>
  <c r="M131" i="15" s="1"/>
  <c r="J101" i="18"/>
  <c r="I35" i="1" s="1"/>
  <c r="O31" i="11"/>
  <c r="M31" i="11" s="1"/>
  <c r="O27" i="15"/>
  <c r="M27" i="15" s="1"/>
  <c r="O225" i="13"/>
  <c r="M225" i="13" s="1"/>
  <c r="O307" i="13"/>
  <c r="M307" i="13" s="1"/>
  <c r="O509" i="13"/>
  <c r="M509" i="13" s="1"/>
  <c r="O379" i="13"/>
  <c r="M379" i="13" s="1"/>
  <c r="O192" i="13"/>
  <c r="M192" i="13" s="1"/>
  <c r="O459" i="13"/>
  <c r="M459" i="13" s="1"/>
  <c r="O350" i="13"/>
  <c r="M350" i="13" s="1"/>
  <c r="O75" i="15"/>
  <c r="M75" i="15" s="1"/>
  <c r="O187" i="15"/>
  <c r="M187" i="15" s="1"/>
  <c r="O61" i="1"/>
  <c r="J99" i="18"/>
  <c r="M19" i="11"/>
  <c r="O103" i="15"/>
  <c r="M103" i="15" s="1"/>
  <c r="M27" i="13"/>
  <c r="O37" i="14"/>
  <c r="J102" i="18" l="1"/>
  <c r="I36" i="1" s="1"/>
  <c r="J100" i="18"/>
  <c r="I34" i="1" s="1"/>
  <c r="M37" i="14"/>
  <c r="J103" i="18"/>
  <c r="I37" i="1" s="1"/>
  <c r="I33" i="1"/>
  <c r="I14" i="21" l="1"/>
  <c r="M14" i="21" s="1"/>
  <c r="O14" i="21" s="1"/>
  <c r="O15" i="21" s="1"/>
  <c r="J98" i="18" s="1"/>
  <c r="M15" i="21" l="1"/>
  <c r="J106" i="18"/>
  <c r="I32" i="1"/>
  <c r="I40" i="1" l="1"/>
  <c r="K41" i="1" s="1"/>
  <c r="K30" i="1" l="1"/>
  <c r="K29" i="1"/>
  <c r="K42" i="1"/>
  <c r="K44" i="1" l="1"/>
  <c r="K46" i="1" l="1"/>
  <c r="K48" i="1" s="1"/>
  <c r="C52" i="1" l="1"/>
  <c r="E19" i="1"/>
  <c r="E64" i="1"/>
</calcChain>
</file>

<file path=xl/comments1.xml><?xml version="1.0" encoding="utf-8"?>
<comments xmlns="http://schemas.openxmlformats.org/spreadsheetml/2006/main">
  <authors>
    <author>Rob van Kasteren</author>
    <author xml:space="preserve">Jorn van Eekeren </author>
  </authors>
  <commentList>
    <comment ref="E6" authorId="0" shapeId="0">
      <text>
        <r>
          <rPr>
            <sz val="8"/>
            <color indexed="81"/>
            <rFont val="Tahoma"/>
            <family val="2"/>
          </rPr>
          <t>Bewerkingsdatum kostenraming</t>
        </r>
      </text>
    </comment>
    <comment ref="E7" authorId="0" shapeId="0">
      <text>
        <r>
          <rPr>
            <sz val="8"/>
            <color indexed="81"/>
            <rFont val="Tahoma"/>
            <family val="2"/>
          </rPr>
          <t>Kenmerk kostenraming</t>
        </r>
      </text>
    </comment>
    <comment ref="E8" authorId="0" shapeId="0">
      <text>
        <r>
          <rPr>
            <sz val="8"/>
            <color indexed="81"/>
            <rFont val="Tahoma"/>
            <family val="2"/>
          </rPr>
          <t>Naam</t>
        </r>
      </text>
    </comment>
    <comment ref="E17" authorId="0" shapeId="0">
      <text>
        <r>
          <rPr>
            <sz val="8"/>
            <color indexed="81"/>
            <rFont val="Tahoma"/>
            <family val="2"/>
          </rPr>
          <t>projecttypering: 
Herinrichting, rioolvervanging, bouwrijp, woonrijp e.d.</t>
        </r>
      </text>
    </comment>
    <comment ref="C19" authorId="1" shapeId="0">
      <text>
        <r>
          <rPr>
            <sz val="8"/>
            <color indexed="81"/>
            <rFont val="Tahoma"/>
          </rPr>
          <t>Betreft geraamde projectkosten</t>
        </r>
      </text>
    </comment>
    <comment ref="H29" authorId="1" shapeId="0">
      <text>
        <r>
          <rPr>
            <sz val="8"/>
            <color indexed="81"/>
            <rFont val="Tahoma"/>
          </rPr>
          <t>Invullen percentage van de aanneemsom</t>
        </r>
      </text>
    </comment>
    <comment ref="H30" authorId="1" shapeId="0">
      <text>
        <r>
          <rPr>
            <sz val="8"/>
            <color indexed="81"/>
            <rFont val="Tahoma"/>
            <family val="2"/>
          </rPr>
          <t>Invullen percentage van de aanneemsom</t>
        </r>
      </text>
    </comment>
    <comment ref="H40" authorId="1" shapeId="0">
      <text>
        <r>
          <rPr>
            <sz val="8"/>
            <color indexed="81"/>
            <rFont val="Tahoma"/>
            <family val="2"/>
          </rPr>
          <t>Invullen percentage van de uitvoering</t>
        </r>
      </text>
    </comment>
    <comment ref="C42" authorId="1" shapeId="0">
      <text>
        <r>
          <rPr>
            <sz val="8"/>
            <color indexed="81"/>
            <rFont val="Tahoma"/>
            <family val="2"/>
          </rPr>
          <t>Betreft kosten voor opnemen in beheerplan</t>
        </r>
      </text>
    </comment>
    <comment ref="H42" authorId="1" shapeId="0">
      <text>
        <r>
          <rPr>
            <sz val="8"/>
            <color indexed="81"/>
            <rFont val="Tahoma"/>
            <family val="2"/>
          </rPr>
          <t>Invullen percentage van de aanneemsom</t>
        </r>
      </text>
    </comment>
    <comment ref="H46" authorId="1" shapeId="0">
      <text>
        <r>
          <rPr>
            <sz val="8"/>
            <color indexed="81"/>
            <rFont val="Tahoma"/>
            <family val="2"/>
          </rPr>
          <t>Invullen percentage van het subtotaal</t>
        </r>
      </text>
    </comment>
    <comment ref="C52" authorId="0" shapeId="0">
      <text>
        <r>
          <rPr>
            <sz val="8"/>
            <color indexed="81"/>
            <rFont val="Tahoma"/>
            <family val="2"/>
          </rPr>
          <t>Inclusief controle</t>
        </r>
      </text>
    </comment>
  </commentList>
</comments>
</file>

<file path=xl/comments2.xml><?xml version="1.0" encoding="utf-8"?>
<comments xmlns="http://schemas.openxmlformats.org/spreadsheetml/2006/main">
  <authors>
    <author xml:space="preserve">Jorn van Eekeren </author>
    <author>Rob van Kasteren</author>
  </authors>
  <commentList>
    <comment ref="G21" authorId="0" shapeId="0">
      <text>
        <r>
          <rPr>
            <sz val="8"/>
            <color indexed="81"/>
            <rFont val="Tahoma"/>
            <family val="2"/>
          </rPr>
          <t>Kosten die worden gemaakt ten behoeve van kabels en leidingen</t>
        </r>
      </text>
    </comment>
    <comment ref="G22" authorId="0" shapeId="0">
      <text>
        <r>
          <rPr>
            <sz val="8"/>
            <color indexed="81"/>
            <rFont val="Tahoma"/>
            <family val="2"/>
          </rPr>
          <t>Bijzondere kosten die gemaakt worden ten behoeven van bijvoorbeeld bereikbaarheid</t>
        </r>
      </text>
    </comment>
    <comment ref="G24" authorId="0" shapeId="0">
      <text>
        <r>
          <rPr>
            <sz val="8"/>
            <color indexed="81"/>
            <rFont val="Tahoma"/>
            <family val="2"/>
          </rPr>
          <t>Kostenindicatie € 180,- tot 220,- per m3</t>
        </r>
      </text>
    </comment>
    <comment ref="G25" authorId="1" shapeId="0">
      <text>
        <r>
          <rPr>
            <sz val="8"/>
            <color indexed="81"/>
            <rFont val="Tahoma"/>
            <family val="2"/>
          </rPr>
          <t>er zijn geen kosten voor verlichting opgenomen in de aanneemsom</t>
        </r>
        <r>
          <rPr>
            <b/>
            <sz val="8"/>
            <color indexed="81"/>
            <rFont val="Tahoma"/>
          </rPr>
          <t xml:space="preserve"> </t>
        </r>
      </text>
    </comment>
    <comment ref="G26" authorId="1" shapeId="0">
      <text>
        <r>
          <rPr>
            <sz val="8"/>
            <color indexed="81"/>
            <rFont val="Tahoma"/>
            <family val="2"/>
          </rPr>
          <t>Er zijn geen kosten voor zitbanken, vuilnisbakken e.d. opgenomen in de aanneemsom</t>
        </r>
      </text>
    </comment>
  </commentList>
</comments>
</file>

<file path=xl/sharedStrings.xml><?xml version="1.0" encoding="utf-8"?>
<sst xmlns="http://schemas.openxmlformats.org/spreadsheetml/2006/main" count="1996" uniqueCount="503">
  <si>
    <t>Projectgegevens</t>
  </si>
  <si>
    <t>datum</t>
  </si>
  <si>
    <t>Wijk</t>
  </si>
  <si>
    <t>Projecttypering</t>
  </si>
  <si>
    <t>Kostenindicatie</t>
  </si>
  <si>
    <t>Kostenmarge</t>
  </si>
  <si>
    <t>Wegen</t>
  </si>
  <si>
    <t>Riolering</t>
  </si>
  <si>
    <t>Groen</t>
  </si>
  <si>
    <t>Beleid</t>
  </si>
  <si>
    <t>Voorbereiding</t>
  </si>
  <si>
    <t>Beheer</t>
  </si>
  <si>
    <t>Totaal</t>
  </si>
  <si>
    <t>Onderbouwing kostenindicatie</t>
  </si>
  <si>
    <t>Prijspeil</t>
  </si>
  <si>
    <t>Verhardingen</t>
  </si>
  <si>
    <t>Grondwerk</t>
  </si>
  <si>
    <t>Groenvoorzieningen</t>
  </si>
  <si>
    <t>Werken van algemene aard</t>
  </si>
  <si>
    <t>totaal</t>
  </si>
  <si>
    <t>onderdelen</t>
  </si>
  <si>
    <t>totalen</t>
  </si>
  <si>
    <t>subtotaal</t>
  </si>
  <si>
    <t>Onvoorzien</t>
  </si>
  <si>
    <t>Omschrijving</t>
  </si>
  <si>
    <t>Onderdelen</t>
  </si>
  <si>
    <t>kenmerk</t>
  </si>
  <si>
    <t>Bepalen projectbudget ten behoeve van meerjaren uitvoeringsprogramma 2008-2012</t>
  </si>
  <si>
    <t>Kostenraming projecten - Samenvatting</t>
  </si>
  <si>
    <t>m</t>
  </si>
  <si>
    <t>asfalt</t>
  </si>
  <si>
    <t>tegels</t>
  </si>
  <si>
    <t>leverantie buis</t>
  </si>
  <si>
    <t>per uur</t>
  </si>
  <si>
    <t>per m</t>
  </si>
  <si>
    <t>grondwerker</t>
  </si>
  <si>
    <t>aanvullen sleuf</t>
  </si>
  <si>
    <t>afvoeren vrijkomende grond</t>
  </si>
  <si>
    <t>Materieel</t>
  </si>
  <si>
    <t>Materiaal</t>
  </si>
  <si>
    <t>zand voor zandbed</t>
  </si>
  <si>
    <t>zand voor ophoging</t>
  </si>
  <si>
    <t>uitvoerder</t>
  </si>
  <si>
    <t>Project</t>
  </si>
  <si>
    <t>Onderhoud Kempenlandstraat</t>
  </si>
  <si>
    <t>rioolvernieuwing met reconstructie</t>
  </si>
  <si>
    <t>aanneemsom</t>
  </si>
  <si>
    <t>voorbereiding</t>
  </si>
  <si>
    <t>beheer</t>
  </si>
  <si>
    <t>beleid</t>
  </si>
  <si>
    <t>per m²</t>
  </si>
  <si>
    <t>jaar</t>
  </si>
  <si>
    <t>Kostenraming projecten - Input</t>
  </si>
  <si>
    <t>eh</t>
  </si>
  <si>
    <t>m3</t>
  </si>
  <si>
    <t>omschrijving</t>
  </si>
  <si>
    <t>nr.</t>
  </si>
  <si>
    <t>verwijderen begroeiing/haag</t>
  </si>
  <si>
    <t>bermen aanvullen</t>
  </si>
  <si>
    <t>m2</t>
  </si>
  <si>
    <t>st</t>
  </si>
  <si>
    <t xml:space="preserve">Onderbouwing  </t>
  </si>
  <si>
    <t>(totalen getransporteerd naar samenvatting)</t>
  </si>
  <si>
    <t>grondwerk</t>
  </si>
  <si>
    <t>riolering</t>
  </si>
  <si>
    <t>verhardingen</t>
  </si>
  <si>
    <t>groenvoorzieningen</t>
  </si>
  <si>
    <t>hydraulische kraan 800 liter</t>
  </si>
  <si>
    <t>hydraulische rupskraan 1 m³</t>
  </si>
  <si>
    <t>hydraulische rupskraan 2 m³</t>
  </si>
  <si>
    <t>wiellaadschop 1 m³</t>
  </si>
  <si>
    <t>wiellaadschop 2 m³</t>
  </si>
  <si>
    <t>vrachtauto 6x6 12 m³</t>
  </si>
  <si>
    <t>tractor met hydraulische grondkar 6 m³</t>
  </si>
  <si>
    <t>tractor 70 kw</t>
  </si>
  <si>
    <t>centrifugaalpomp 120 m³</t>
  </si>
  <si>
    <t>centrifugaalpomp 300 m³</t>
  </si>
  <si>
    <t>per week</t>
  </si>
  <si>
    <t>zandvang bronbemaling</t>
  </si>
  <si>
    <t>ontijzeringsinstallatie</t>
  </si>
  <si>
    <t>peibuis</t>
  </si>
  <si>
    <t>per stuk</t>
  </si>
  <si>
    <t>prijs</t>
  </si>
  <si>
    <t>Arbeid</t>
  </si>
  <si>
    <r>
      <t>leidingwerk t.b.v. bronbemaling per m</t>
    </r>
    <r>
      <rPr>
        <sz val="11"/>
        <rFont val="Garamond"/>
        <family val="1"/>
      </rPr>
      <t>¹</t>
    </r>
  </si>
  <si>
    <t>per dag</t>
  </si>
  <si>
    <t>tractor met grondbewerkingsmachine</t>
  </si>
  <si>
    <t>trilwals 6000 kg, excl. bediening</t>
  </si>
  <si>
    <t>trilplaat 1000 kg, excl. bediening</t>
  </si>
  <si>
    <t>drainmachine, incl. 3 man bediening</t>
  </si>
  <si>
    <t>explosiestamper, excl. bediening</t>
  </si>
  <si>
    <t>prefab sleufbekisting</t>
  </si>
  <si>
    <t xml:space="preserve">rioolafsluiter </t>
  </si>
  <si>
    <t>boormachine, incl. opzetstuk</t>
  </si>
  <si>
    <t>asfaltfreesmachine, werkbreedte 1,00 m</t>
  </si>
  <si>
    <r>
      <t>veeg/zuigauto 7 m</t>
    </r>
    <r>
      <rPr>
        <sz val="11"/>
        <rFont val="Garamond"/>
        <family val="1"/>
      </rPr>
      <t>³</t>
    </r>
  </si>
  <si>
    <t>sproeiwagen</t>
  </si>
  <si>
    <t>grader, enkelas aangedreven 10 ton</t>
  </si>
  <si>
    <t>asfaltzaagmachine</t>
  </si>
  <si>
    <t>minishovel met stenenklem</t>
  </si>
  <si>
    <t>Kostenraming projecten - Basisgegevens</t>
  </si>
  <si>
    <t xml:space="preserve">reinigingsset, zuig- en tankwagen incl. bediening </t>
  </si>
  <si>
    <t>stratenmaker</t>
  </si>
  <si>
    <t>projectleider</t>
  </si>
  <si>
    <t>landmeetploeg, 2 man incl. materieel</t>
  </si>
  <si>
    <t>flugzand als licht ophoog materiaal</t>
  </si>
  <si>
    <t>brekerzand</t>
  </si>
  <si>
    <t>eenheid</t>
  </si>
  <si>
    <t>productie</t>
  </si>
  <si>
    <t>prijs per eenheid</t>
  </si>
  <si>
    <t>hoeveelheid</t>
  </si>
  <si>
    <t>uur</t>
  </si>
  <si>
    <t>busje, incl. chauffeur</t>
  </si>
  <si>
    <t>geel tekstbord</t>
  </si>
  <si>
    <t>per st</t>
  </si>
  <si>
    <t>stortkosten categorie 2 grond</t>
  </si>
  <si>
    <t>geel pijlbord</t>
  </si>
  <si>
    <t>afzethek met C01 bord</t>
  </si>
  <si>
    <t>grond ontgraven t.b.v. sleuf</t>
  </si>
  <si>
    <t>pvcbuis ø250 mm</t>
  </si>
  <si>
    <t>betonbuis ø400 mm</t>
  </si>
  <si>
    <t>levarantie zand</t>
  </si>
  <si>
    <t xml:space="preserve">dag </t>
  </si>
  <si>
    <t>stortkosten puinhoudende grond, max 10%</t>
  </si>
  <si>
    <t>stortkosten schone grond</t>
  </si>
  <si>
    <t>knevelinlaat</t>
  </si>
  <si>
    <t>hulpstuk</t>
  </si>
  <si>
    <t>pvcbuis ø125 mm</t>
  </si>
  <si>
    <t>betonbuis ø700 mm</t>
  </si>
  <si>
    <t>betonbuis ø1000 mm, gewapend</t>
  </si>
  <si>
    <t>inspectieput prefabbeton 800x800</t>
  </si>
  <si>
    <t>inspectieput prefabbeton 1300x1300</t>
  </si>
  <si>
    <t>uitstroombak t/m pvc ø315 mm</t>
  </si>
  <si>
    <t>leverantie put</t>
  </si>
  <si>
    <t>huis- en/of kolkaansluiting</t>
  </si>
  <si>
    <t xml:space="preserve">m </t>
  </si>
  <si>
    <t>flexibel zetting T-stuk stroom</t>
  </si>
  <si>
    <t>Uitganspunten:</t>
  </si>
  <si>
    <t>rioolsleuf 2,5 kuub per m</t>
  </si>
  <si>
    <t>productie totaal ca. 16 m per uur</t>
  </si>
  <si>
    <t>1 inspectieput per 45 m</t>
  </si>
  <si>
    <t>10% grondverbetering</t>
  </si>
  <si>
    <t>rioolsleuf 3 kuub per m</t>
  </si>
  <si>
    <t>rioolsleuf 6 kuub per m</t>
  </si>
  <si>
    <t>productie totaal ca. 8 m per uur</t>
  </si>
  <si>
    <t>rioolsleuf 10 kuub per m</t>
  </si>
  <si>
    <t>inspectieput prefabbeton 1000x1000</t>
  </si>
  <si>
    <t>beton infitratiebuis ø400 mm</t>
  </si>
  <si>
    <t xml:space="preserve">1 aansluiting per 5 m riool </t>
  </si>
  <si>
    <t xml:space="preserve">1 aansluiting per 7 m riool </t>
  </si>
  <si>
    <t>afvoeren vrijkomende materialen</t>
  </si>
  <si>
    <t>Algemeen</t>
  </si>
  <si>
    <t>stortkosten betonpuin/steenachtigmateriaal</t>
  </si>
  <si>
    <t>inclusief stortkosten</t>
  </si>
  <si>
    <t>ontgraven rioolsleuf volgens aanbrengen riolering</t>
  </si>
  <si>
    <t>gewicht buis ø500 mm = 700 kg</t>
  </si>
  <si>
    <t>gewicht put 800x800 = 1500 kg</t>
  </si>
  <si>
    <t>verwijderen put 800x800</t>
  </si>
  <si>
    <t>verwijderen put 1300x1300</t>
  </si>
  <si>
    <t>gewicht buis ø900 mm = 2200 kg</t>
  </si>
  <si>
    <t>aanbrengen insitukous</t>
  </si>
  <si>
    <t>Reiniging en inspectie</t>
  </si>
  <si>
    <t>reininging riool</t>
  </si>
  <si>
    <t>inspectie riool</t>
  </si>
  <si>
    <t>per ton</t>
  </si>
  <si>
    <t>Grondwerk-funderingen</t>
  </si>
  <si>
    <t>Verharinding</t>
  </si>
  <si>
    <t>gewicht put 1300x1300 = 3500 kg</t>
  </si>
  <si>
    <t>ton</t>
  </si>
  <si>
    <t>tom</t>
  </si>
  <si>
    <t>dag</t>
  </si>
  <si>
    <t>inspectiewagen, incl. bediening</t>
  </si>
  <si>
    <t>stortkosten slib</t>
  </si>
  <si>
    <t>stortkosten rioolslib</t>
  </si>
  <si>
    <t>diameter riool ø400 mm</t>
  </si>
  <si>
    <t>vervuilingsgraad 15%</t>
  </si>
  <si>
    <t>vervuilingsgraad 5%</t>
  </si>
  <si>
    <t>bss</t>
  </si>
  <si>
    <t>opbreken bss</t>
  </si>
  <si>
    <t>Opbreken bss</t>
  </si>
  <si>
    <t>betonstraatstenen (bss) dik 80</t>
  </si>
  <si>
    <t>opsluiting van trottoirbanden</t>
  </si>
  <si>
    <t>Opbreken sbs</t>
  </si>
  <si>
    <t>straatbakstenen (sbs) waalformaat dik 80</t>
  </si>
  <si>
    <t>opbreken trottoirbanden</t>
  </si>
  <si>
    <t>Opbreken tegels</t>
  </si>
  <si>
    <t>opbreken opsluitbanden</t>
  </si>
  <si>
    <t>sbs</t>
  </si>
  <si>
    <t>opsluiting van opsluitbanden</t>
  </si>
  <si>
    <t>tegels (tgls) dik 60</t>
  </si>
  <si>
    <t>productie van 75 m2 per uur</t>
  </si>
  <si>
    <t>aanbrengen molgoot</t>
  </si>
  <si>
    <t>Opbreken asfalt</t>
  </si>
  <si>
    <t>opbreken asfalt</t>
  </si>
  <si>
    <t>productie van 60 m2 per uur</t>
  </si>
  <si>
    <t>asfalt dik 140</t>
  </si>
  <si>
    <t>afvoeren betonpuin</t>
  </si>
  <si>
    <t>afvoeren asfalt</t>
  </si>
  <si>
    <t>stortkosten asfaltschollen</t>
  </si>
  <si>
    <t>stortkosten teerhoudende asfaltschollen</t>
  </si>
  <si>
    <t>trottoir aan beide zijden van hoofdrijbaan</t>
  </si>
  <si>
    <t>Opbreken teerhoudendasfalt</t>
  </si>
  <si>
    <t>Aanbrengen hoofdrijbaan (bss)</t>
  </si>
  <si>
    <t>aanbrengen bss</t>
  </si>
  <si>
    <t>leverantie stenen</t>
  </si>
  <si>
    <t>bss KF heide paars, dik 80</t>
  </si>
  <si>
    <t>bisschopmuts heide paars, dik 80</t>
  </si>
  <si>
    <t>per 1000</t>
  </si>
  <si>
    <t>‰</t>
  </si>
  <si>
    <t>aanbrengen straatlaag</t>
  </si>
  <si>
    <t>leverantie straatlaag</t>
  </si>
  <si>
    <t>straatzand</t>
  </si>
  <si>
    <t>aanbrengen trottoirband, incl. 2 strek</t>
  </si>
  <si>
    <t>trottoirband inclusief dubbele strek</t>
  </si>
  <si>
    <t>leverantie trottoirband</t>
  </si>
  <si>
    <t>leverantie stelspecie</t>
  </si>
  <si>
    <t>schraalbeton</t>
  </si>
  <si>
    <t>trottoirband in stelspecie</t>
  </si>
  <si>
    <t>opsluitband 80x200</t>
  </si>
  <si>
    <t>trottoirband 130/150x250</t>
  </si>
  <si>
    <t>straatlaag dik 50 mm</t>
  </si>
  <si>
    <t>schraalbeton is 55 trottoirbanden per ton</t>
  </si>
  <si>
    <t>Aanbrengen hoofdrijbaan (sbs)</t>
  </si>
  <si>
    <t>aanbrengen sbs</t>
  </si>
  <si>
    <t>sbs KF rood, dik 80</t>
  </si>
  <si>
    <t>55 mm steenslagasfaltbeton 0/22 vk3</t>
  </si>
  <si>
    <t>40 mm openasfaltbeton 0/16 type 2 vk 3</t>
  </si>
  <si>
    <t>35 mm steenmastiekasfalt 0/11 vk 3</t>
  </si>
  <si>
    <t>STAB 0/22 vk 3</t>
  </si>
  <si>
    <t>OAB 0/16 type 2 vk 3</t>
  </si>
  <si>
    <t>SMA 0/11 vk 2</t>
  </si>
  <si>
    <t>SMA tilrood 0/11 vk 2</t>
  </si>
  <si>
    <t>emulsie kleef</t>
  </si>
  <si>
    <t>asfaltverwerker</t>
  </si>
  <si>
    <t>leverantie kleeflaag</t>
  </si>
  <si>
    <t>leverantie onderstelaag STAB</t>
  </si>
  <si>
    <t>aanbrengen kleeflaag</t>
  </si>
  <si>
    <t>kleeflaag 0,2 kg per m2</t>
  </si>
  <si>
    <t>drierolwals 9000 kg</t>
  </si>
  <si>
    <t>vervoer vanaf locatie 20 km</t>
  </si>
  <si>
    <t xml:space="preserve">asfaltspreidmachine 2,50 m - 6,00 m, incl. machinist en balkman </t>
  </si>
  <si>
    <t xml:space="preserve">asfaltspreidmachine 0,80 m - 2,50 m, incl. machinist en balkman </t>
  </si>
  <si>
    <t>vrachtauto 8x4, geïsoleerd 20 ton</t>
  </si>
  <si>
    <t>vervoer asfalt productie is 10 ton per uur</t>
  </si>
  <si>
    <t>Aanbrengen hoofdrijbaan (3 lagen asfalt)</t>
  </si>
  <si>
    <t>aanbrengen asfalt, laag STAB</t>
  </si>
  <si>
    <t>aanbrengen asfalt, laag OAB</t>
  </si>
  <si>
    <t>vegen onderlaag</t>
  </si>
  <si>
    <t>vegen tussenlaag</t>
  </si>
  <si>
    <t>aanbrengen asfalt, laag SMA</t>
  </si>
  <si>
    <t>breedte weg 6,30 m, tussen opsluiting 6,00 m</t>
  </si>
  <si>
    <t>breedte weg 5,00 m, tussen opsluiting 4,60 m</t>
  </si>
  <si>
    <t>breedte weg 5,00 m</t>
  </si>
  <si>
    <t xml:space="preserve">breedte weg 2,00 m is totaal 4,00 m </t>
  </si>
  <si>
    <t>uitzetwerk belijning</t>
  </si>
  <si>
    <t>aanbrengen thermoplast</t>
  </si>
  <si>
    <t>Wegmarkering</t>
  </si>
  <si>
    <t>thermoplast figuratie</t>
  </si>
  <si>
    <t>per km</t>
  </si>
  <si>
    <t>thermoplast 1:1, breedte 100 mm</t>
  </si>
  <si>
    <t>per m2</t>
  </si>
  <si>
    <t>km</t>
  </si>
  <si>
    <t>aanbrengen trottoirband, incl. 1 strek</t>
  </si>
  <si>
    <t>belijning is incl. aanbrengen</t>
  </si>
  <si>
    <t xml:space="preserve">betontegel grijs, 30/15 dik 45 </t>
  </si>
  <si>
    <t>betontegel grijs, 30/15 dik 60</t>
  </si>
  <si>
    <t>betontegel grijs, 30/30 dik 60</t>
  </si>
  <si>
    <t>betontegel rood, 30/15 dik 60</t>
  </si>
  <si>
    <t>betontegel rood, 30/30 dik 60</t>
  </si>
  <si>
    <t>22 stuks</t>
  </si>
  <si>
    <t>leverantie tegels</t>
  </si>
  <si>
    <t>11 stuks</t>
  </si>
  <si>
    <t>productie elementen ca. 150 eenheden per dag met 3 man</t>
  </si>
  <si>
    <t>trottoirband 180/200x250</t>
  </si>
  <si>
    <t>productie elementen ca. 100 eenheden per dag met 3 man</t>
  </si>
  <si>
    <t>fundering</t>
  </si>
  <si>
    <t>Fundering</t>
  </si>
  <si>
    <t>Graven cunet, tot 250</t>
  </si>
  <si>
    <t xml:space="preserve">graven cunet </t>
  </si>
  <si>
    <t>productie is 50 m3 per uur</t>
  </si>
  <si>
    <t>productie is 35 m3 per uur</t>
  </si>
  <si>
    <t>productie is 25 m3 per uur</t>
  </si>
  <si>
    <t>productie is 40 m3 per uur</t>
  </si>
  <si>
    <t>Graven cunet, tot 500</t>
  </si>
  <si>
    <t>milieukundetoezichthouder</t>
  </si>
  <si>
    <t>Aanbrengen zandbed, tot 250</t>
  </si>
  <si>
    <t>aanvullen zand voor zandbed</t>
  </si>
  <si>
    <t>afvoeren schone grond</t>
  </si>
  <si>
    <t>leverantie zand voor zandbed</t>
  </si>
  <si>
    <t>verdichten zandbed</t>
  </si>
  <si>
    <t>Aanbrengen ongebonden menggranulaat, tot 250</t>
  </si>
  <si>
    <t>leverantiemenggranulaat 0/31,5</t>
  </si>
  <si>
    <t>breedte cunet 6,00 m is 1,00 m + 5,00 m elementen rijbaan</t>
  </si>
  <si>
    <t>menggranulaat 0/31,5</t>
  </si>
  <si>
    <t>verdichten menggranulaat</t>
  </si>
  <si>
    <t>percentage</t>
  </si>
  <si>
    <t>Subtotaal</t>
  </si>
  <si>
    <t>Kostenraming projecten - Grondwerk</t>
  </si>
  <si>
    <t>Kostenraming projecten - Riolering</t>
  </si>
  <si>
    <t>Kostenraming projecten - Fundering</t>
  </si>
  <si>
    <t>Kostenraming projecten - Verharding</t>
  </si>
  <si>
    <t>Kostenraming projecten - Groenvoorzieningen</t>
  </si>
  <si>
    <t>rooien van bomen</t>
  </si>
  <si>
    <t>teelaarde</t>
  </si>
  <si>
    <t>leverantie teelaarde</t>
  </si>
  <si>
    <t>Verwijderen bomen tot 20 cm</t>
  </si>
  <si>
    <t>rooien van bomen is incl. stobben</t>
  </si>
  <si>
    <t>stamdiameter tot 20 cm</t>
  </si>
  <si>
    <t>stamdiameter tot 70 cm</t>
  </si>
  <si>
    <t>leverantie teelaarde 0,50 m3 per boom</t>
  </si>
  <si>
    <t>leverantie teelaarde 2,00 m3 per boom</t>
  </si>
  <si>
    <t>Verwijderen bomen tot 70 cm</t>
  </si>
  <si>
    <t>stortkosten</t>
  </si>
  <si>
    <t>Groenvoorziening</t>
  </si>
  <si>
    <t>stortkosten bomen/takken</t>
  </si>
  <si>
    <t>incl. stortkosten</t>
  </si>
  <si>
    <t>hoogte opstand 1,50 m</t>
  </si>
  <si>
    <t>Verwijderen begroeiing</t>
  </si>
  <si>
    <t>rooien en afvoeren</t>
  </si>
  <si>
    <t>karakter van de begroeiing is struikgewas, gesloten beplanting</t>
  </si>
  <si>
    <t>Aanbrengen graszoden</t>
  </si>
  <si>
    <t>rolzoden</t>
  </si>
  <si>
    <t>aanbrengen rolzoden</t>
  </si>
  <si>
    <t>productie 40 m2 per uur</t>
  </si>
  <si>
    <t>leverantie graszoden</t>
  </si>
  <si>
    <t>maken plantgat</t>
  </si>
  <si>
    <t>Planten van bomen, stamdiameter 14-16 cm</t>
  </si>
  <si>
    <t>aanbrengen boom</t>
  </si>
  <si>
    <t>leverantie plantmateriaal</t>
  </si>
  <si>
    <t>plantgat van 2,5 m3</t>
  </si>
  <si>
    <t>boom gemiddeld, stamdiameter 14-16 cm</t>
  </si>
  <si>
    <t>leveratie grondverbetering</t>
  </si>
  <si>
    <t>bomenzand</t>
  </si>
  <si>
    <t>verhardingsmateriaal hergebruiken</t>
  </si>
  <si>
    <t>- rijbaan</t>
  </si>
  <si>
    <t>- fietspad</t>
  </si>
  <si>
    <t>- voetpad</t>
  </si>
  <si>
    <t>- parkeervakken</t>
  </si>
  <si>
    <t>beton &lt; Ø500</t>
  </si>
  <si>
    <t>PVC Ø250</t>
  </si>
  <si>
    <t>- hoofdriool</t>
  </si>
  <si>
    <t>- infiltratieriool</t>
  </si>
  <si>
    <t>beton Ø400</t>
  </si>
  <si>
    <t>- bomen</t>
  </si>
  <si>
    <t>- struiken/hagen</t>
  </si>
  <si>
    <t>- gras</t>
  </si>
  <si>
    <t>&lt; 20cm</t>
  </si>
  <si>
    <t>&lt;70cm</t>
  </si>
  <si>
    <t>- plateau</t>
  </si>
  <si>
    <t>- drempel</t>
  </si>
  <si>
    <t>- poort 30km zone</t>
  </si>
  <si>
    <t>&lt;&lt;keuze maken a.u.b.&gt;&gt;</t>
  </si>
  <si>
    <t>Keuze mogelijkheden</t>
  </si>
  <si>
    <t>Aanbrengen groenvoorzieningen</t>
  </si>
  <si>
    <t>teerh. asfalt</t>
  </si>
  <si>
    <t>beton &lt; Ø1000</t>
  </si>
  <si>
    <t>beton &lt; Ø400</t>
  </si>
  <si>
    <t>beton &lt; Ø 700</t>
  </si>
  <si>
    <t>Opbreken bestaande verhardingen</t>
  </si>
  <si>
    <t>Aanbrengen verhardingen</t>
  </si>
  <si>
    <t>Opbreken bestaande riolering</t>
  </si>
  <si>
    <t>Aanbrengen riolering</t>
  </si>
  <si>
    <t>Verwijderen bestaande groenvoorzieningen</t>
  </si>
  <si>
    <t>verhardingsmateriaal leveren</t>
  </si>
  <si>
    <t>leverantie</t>
  </si>
  <si>
    <t>waarde</t>
  </si>
  <si>
    <t>Aanbrengen parkeren (sbs)</t>
  </si>
  <si>
    <t>breedte parkeervak 2,00 m, tussen opsluiting 1,60 m</t>
  </si>
  <si>
    <t>molgoot 3 strekken</t>
  </si>
  <si>
    <t>OV</t>
  </si>
  <si>
    <t>Aanneemsom</t>
  </si>
  <si>
    <t>Bijkomende voorzieningen</t>
  </si>
  <si>
    <t>Datum</t>
  </si>
  <si>
    <t>Kenmerk</t>
  </si>
  <si>
    <t>- verlichting</t>
  </si>
  <si>
    <t>- nutsvoorzieningen</t>
  </si>
  <si>
    <t>- inrichingselementen</t>
  </si>
  <si>
    <t>- tijdelijke maatregelen</t>
  </si>
  <si>
    <t>- sanering</t>
  </si>
  <si>
    <t>- infiltratievoorziening</t>
  </si>
  <si>
    <t>- nader in te vullen, deel A</t>
  </si>
  <si>
    <t>- nader in te vullen, deel B</t>
  </si>
  <si>
    <t>- nader in te vullen, deel C</t>
  </si>
  <si>
    <t>Inrichtingselementen</t>
  </si>
  <si>
    <t>inrichingselementen</t>
  </si>
  <si>
    <t>werk van algemene aard</t>
  </si>
  <si>
    <t>lengte kous tot 5 m</t>
  </si>
  <si>
    <t>leverantie kous</t>
  </si>
  <si>
    <t>naaldviltenkous</t>
  </si>
  <si>
    <t>Renovatie insitu</t>
  </si>
  <si>
    <t>Deelrenovatie insitu</t>
  </si>
  <si>
    <t>- renovatie</t>
  </si>
  <si>
    <t>deel: 5m/st</t>
  </si>
  <si>
    <t>streng, min. 45 m</t>
  </si>
  <si>
    <t>vervangen per streng</t>
  </si>
  <si>
    <t>minimale afmeting is 45 m</t>
  </si>
  <si>
    <t>buisdiameter is ø400 mm</t>
  </si>
  <si>
    <t>Sluiten van post     :</t>
  </si>
  <si>
    <t>Aanbrengen parkeren (bss)</t>
  </si>
  <si>
    <t>Aanbrengen fietspad (2 lagen asfalt)</t>
  </si>
  <si>
    <t>60 mm steenslagasfaltbeton 0/22 vk3</t>
  </si>
  <si>
    <t>35 mm steenmastiekasfalt 0/11 vk 3,kleur tilrood</t>
  </si>
  <si>
    <t>leverantie opsluitband</t>
  </si>
  <si>
    <t>aanbrengen opsluitband</t>
  </si>
  <si>
    <t>trottoirband aan beidezijden van rijweg</t>
  </si>
  <si>
    <t>opsluitband aan eenzijde van pad</t>
  </si>
  <si>
    <t>aanbrengen tegels</t>
  </si>
  <si>
    <t>betontegel grijs, 30/30 dik 45</t>
  </si>
  <si>
    <t>breedte trottoir 1,53 m, tussen opsluiting 1,45 m</t>
  </si>
  <si>
    <t>Aanbrengen trottoir (tgls)</t>
  </si>
  <si>
    <t>Aanbrengen fietspad (tgls rood)</t>
  </si>
  <si>
    <t>breedte fietspad 1,88 m, tussen opsluiting 1,65 m</t>
  </si>
  <si>
    <t>aanbrengen tegels, kleur rood</t>
  </si>
  <si>
    <t>productie elementen ca. 120 eenheden per dag met 3 man</t>
  </si>
  <si>
    <t>breedte weg 2,00 m, tussen opsluiting 1,74 m</t>
  </si>
  <si>
    <t xml:space="preserve">breedte cunet 2,50 m is 1,00 m + 2,00 m </t>
  </si>
  <si>
    <t>productie is 45 m3 per uur</t>
  </si>
  <si>
    <t>breedte cunet 7,30 m is 1,00 m + 6,30 m elementen rijbaan</t>
  </si>
  <si>
    <t xml:space="preserve">breedte cunet 7,30 m is 1,00 m + 6,30 m </t>
  </si>
  <si>
    <t>breedte cunet 2,50 m is 0,50 m + 2,00 m</t>
  </si>
  <si>
    <t>Verwijderen gras</t>
  </si>
  <si>
    <t>verwijderen gras</t>
  </si>
  <si>
    <t>productie 100 m2 per uur</t>
  </si>
  <si>
    <t>productie is 30 m3 per uur</t>
  </si>
  <si>
    <t>verwijderen betonbuis tot ø500</t>
  </si>
  <si>
    <t>verwijderen betonbuis tot ø1000</t>
  </si>
  <si>
    <t>DWA en/of RWA pvcriool tot ø250</t>
  </si>
  <si>
    <t>DWA en/of RWA betonriool tot ø400</t>
  </si>
  <si>
    <t>productie totaal ca. 10 m per uur</t>
  </si>
  <si>
    <t>productie totaal ca. 6 m per uur</t>
  </si>
  <si>
    <t>productie totaal ca. 4 m per uur</t>
  </si>
  <si>
    <t>Infiltratie betonriool tot ø400</t>
  </si>
  <si>
    <t>DWA en/of RWA betonriool tot ø1000, gewapend</t>
  </si>
  <si>
    <t>DWA en/of RWA betonriool tot ø700</t>
  </si>
  <si>
    <t>aanvullen menggranulaat</t>
  </si>
  <si>
    <t>productie elementen ca. 250 eenheden per dag met 3 man</t>
  </si>
  <si>
    <t>Aanbrengen plateau</t>
  </si>
  <si>
    <t>Aanbrengen drempel</t>
  </si>
  <si>
    <t>Aanbrengen 30km poort</t>
  </si>
  <si>
    <t>aanbrengen werkgat</t>
  </si>
  <si>
    <t>leverantie poort</t>
  </si>
  <si>
    <t>30km poort, portaal en bebording</t>
  </si>
  <si>
    <t>2 portalen per poort</t>
  </si>
  <si>
    <t>aanbrengen 30km poort</t>
  </si>
  <si>
    <t>productie 2 portalen per uur</t>
  </si>
  <si>
    <t>belijning dubbele streep 0,10 en 0,20</t>
  </si>
  <si>
    <t>belijning figuratie 30</t>
  </si>
  <si>
    <t>aanbrengen talud</t>
  </si>
  <si>
    <t>drempel lengte 1,80 m</t>
  </si>
  <si>
    <t>productie bovenvlak 100 eenheden per uur</t>
  </si>
  <si>
    <t>productie talud 40 eenheden per uur</t>
  </si>
  <si>
    <t>aanbrengen bovenvlak</t>
  </si>
  <si>
    <t>leverantie bss</t>
  </si>
  <si>
    <t>bss KF engels rood, dik 80</t>
  </si>
  <si>
    <t>bisschopmuts engels rood, dik 80</t>
  </si>
  <si>
    <t>bss KF antraciet, dik 80</t>
  </si>
  <si>
    <t>bss KF wit verkeerssteen, dik 80</t>
  </si>
  <si>
    <t>bss KF grijs, dik 80</t>
  </si>
  <si>
    <t>aanbrengen trottoirband</t>
  </si>
  <si>
    <t>aanbrengen talipaal</t>
  </si>
  <si>
    <t>leverantie talipaal</t>
  </si>
  <si>
    <t>talipaal</t>
  </si>
  <si>
    <t>drempel lengte 1,80 m 3x</t>
  </si>
  <si>
    <t>oppervlakte bovenvlak 125 m2</t>
  </si>
  <si>
    <t>bovenvlak lengte 5,00 m</t>
  </si>
  <si>
    <t>breedte rijweg 5,00 m</t>
  </si>
  <si>
    <t>Uitvoering</t>
  </si>
  <si>
    <t xml:space="preserve">Nader te detaileren </t>
  </si>
  <si>
    <t>Voorber. werkzaamheden</t>
  </si>
  <si>
    <t>totaal percentage</t>
  </si>
  <si>
    <t>voorbereidende werkzaamheden</t>
  </si>
  <si>
    <t>Kostenraming projecten - Voorbereidende werkzaamheden</t>
  </si>
  <si>
    <t>Verkeersmaatregelen</t>
  </si>
  <si>
    <t>verkeersmaatregelen</t>
  </si>
  <si>
    <t>eur</t>
  </si>
  <si>
    <t>%</t>
  </si>
  <si>
    <t>trottoirkolk</t>
  </si>
  <si>
    <t>- kolken</t>
  </si>
  <si>
    <t>2 st per 20 m</t>
  </si>
  <si>
    <t>Aanbrengen kolk</t>
  </si>
  <si>
    <t>2 stuks per 20 m1 RWAriool</t>
  </si>
  <si>
    <t>aanbrengen kolk</t>
  </si>
  <si>
    <t>leverantie kolk</t>
  </si>
  <si>
    <t>leverantie hulpstukken</t>
  </si>
  <si>
    <t>aan te houden voor budgetreserve</t>
  </si>
  <si>
    <t>bij een onder- of overschrijdingkans van 50%</t>
  </si>
  <si>
    <t>% ten opzichte van aanneemsom</t>
  </si>
  <si>
    <t>% ten opzichte van subtotaal</t>
  </si>
  <si>
    <t>Projectnaam</t>
  </si>
  <si>
    <t>Bewerkt door</t>
  </si>
  <si>
    <t>verkeersmaatregelen 2% van aanneemsom (excl. Verkeersmaatregelen)</t>
  </si>
  <si>
    <t>m²</t>
  </si>
  <si>
    <t>oppervlakte
verharding</t>
  </si>
  <si>
    <t>Onderhoud Toren-, School- en Kerkstraat</t>
  </si>
  <si>
    <t>Onderhoud Meierij- en Dr. Mollersingel</t>
  </si>
  <si>
    <t>Kostenraming projecten - Toets aan gerealiseerde projecten</t>
  </si>
  <si>
    <t>Kostenraming projecten - Toelichting en gebruiksaanwijzing</t>
  </si>
  <si>
    <r>
      <t xml:space="preserve">Colofon
</t>
    </r>
    <r>
      <rPr>
        <sz val="11"/>
        <rFont val="Garamond"/>
        <family val="1"/>
      </rPr>
      <t>Het rekenmodel is door Civil Support opgesteld in opdracht van de gemeente Vught
projectnummer 0509, d.d. april 2007</t>
    </r>
  </si>
  <si>
    <r>
      <t xml:space="preserve">Doel
</t>
    </r>
    <r>
      <rPr>
        <sz val="11"/>
        <rFont val="Garamond"/>
        <family val="1"/>
      </rPr>
      <t xml:space="preserve">De kostenraming projecten is een tool om in een vroeg stadium de verwachte investeringskosten voor een uitvoeringsproject op efficiënte wijze te bepalen. Daarnaast kunnen met het model uitvoeringsvarianten afgewogen worden. 
</t>
    </r>
  </si>
  <si>
    <r>
      <t>Toelichting</t>
    </r>
    <r>
      <rPr>
        <sz val="11"/>
        <rFont val="Garamond"/>
        <family val="1"/>
      </rPr>
      <t xml:space="preserve">
Het model wordt gevuld met gegevens uit de beheerdatabase van de gemeente samen met gegevens van de geprojecteerde maatregelen. De volgende projectonderdelen worden onderscheiden: 
- vernieuwen riolering;
- relinen riool;
- herstraten met bestaand materiaal;
- handhaven wegprofiel met nieuw materiaal;
- reconstructie wegprofiel met nieuw materiaal;
- aanleg 30-km voorzieningen;
- aanpassen groen.
Het rekenmodel is gebaseerd op algemene gegevens, uitvoeringsmethoden en omstandigheden, daarnaast dient het model elk jaar geindexeerd te worden. Bijzondere omstandigheden kunnen apart ingevoerd worden bij 'bijkomende kosten'.  De onderliggende berekeningen zijn afgeschermd en zijn alleen toegankelijk met een wachtwoord om eenduidigheid in het gebruik te waarborgen. De berekeningen zijn wel inzichtelijk. De kengetallen zijn mede gebaseerd op ervaringen van reeds gerealiseerde projecten en met een correctie van de marktprijzen naar reële bedragen. Daarnaast is een overzicht van gerealiseerde projecten opgenomen ter toetsing van de kengetallen (prijs per m²).
</t>
    </r>
  </si>
  <si>
    <r>
      <t xml:space="preserve">Gebruiksaanwijzing
</t>
    </r>
    <r>
      <rPr>
        <sz val="11"/>
        <rFont val="Garamond"/>
        <family val="1"/>
      </rPr>
      <t xml:space="preserve">Het rekenmodel is opgebouwd in Excel en bestaat uit de volgende tabbladen:
- Samenvatting (output rekenmodel en input algemene projectgegevens)
- Input (in te voeren gegevens)
- Diverse rekenbladen en picklist (niet te wijzigen zonder wachtwoord)
- Basisgegevens (basisinformatie uurtarieven en eenheidsprijzen)
- Toets (globale toets aan eerder uitgevoerde projecten)
Uitsluitend de tabbladen Samenvatting en Input dienen ingevuld te worden. Alleen de gekleurde cellen kunnen gewijzigd worden. Andere cellen zijn beveiligd en kunnen alleen met een wachtwoord aangepast worden. Wijzigingen van beveiligde cellen dienen door een deskundige uitgevoerd te worden. Projecten die bestaan uit een mix van hergebruik en nieuw materiaal kunnen berekend worden door het project te splitsen in 2 rekenmodellen.
</t>
    </r>
  </si>
  <si>
    <t>A.M.J. Gulden</t>
  </si>
  <si>
    <t>Bepalen projectbudget ten behoeve van meerjaren uitvoeringsprogramma 2018-2022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</si>
</sst>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quot;€&quot;\ * #,##0.00_-;_-&quot;€&quot;\ * #,##0.00\-;_-&quot;€&quot;\ * &quot;-&quot;??_-;_-@_-"/>
    <numFmt numFmtId="165" formatCode="_-* #,##0.00_-;_-* #,##0.00\-;_-* &quot;-&quot;??_-;_-@_-"/>
    <numFmt numFmtId="166" formatCode="_-&quot;€&quot;\ * #,##0_-;_-&quot;€&quot;\ * #,##0\-;_-&quot;€&quot;\ * &quot;-&quot;??_-;_-@_-"/>
    <numFmt numFmtId="167" formatCode="d\ mmmm\ yyyy"/>
    <numFmt numFmtId="168" formatCode="_-&quot;€&quot;\ * #,##0_-;_-&quot;€&quot;\ * #,##0\-;\-"/>
    <numFmt numFmtId="169" formatCode="_-* #,##0_-;_-* #,##0\-;_-* &quot;-&quot;??_-;_-@_-"/>
    <numFmt numFmtId="170" formatCode="0.0"/>
  </numFmts>
  <fonts count="13" x14ac:knownFonts="1">
    <font>
      <sz val="11"/>
      <name val="Garamond"/>
    </font>
    <font>
      <sz val="11"/>
      <name val="Garamond"/>
    </font>
    <font>
      <b/>
      <sz val="11"/>
      <name val="Garamond"/>
      <family val="1"/>
    </font>
    <font>
      <i/>
      <sz val="11"/>
      <name val="Garamond"/>
      <family val="1"/>
    </font>
    <font>
      <b/>
      <sz val="14"/>
      <name val="Garamond"/>
      <family val="1"/>
    </font>
    <font>
      <b/>
      <i/>
      <sz val="11"/>
      <name val="Garamond"/>
      <family val="1"/>
    </font>
    <font>
      <sz val="11"/>
      <name val="Garamond"/>
      <family val="1"/>
    </font>
    <font>
      <i/>
      <sz val="10"/>
      <name val="Garamond"/>
      <family val="1"/>
    </font>
    <font>
      <b/>
      <sz val="11"/>
      <color indexed="10"/>
      <name val="Garamond"/>
      <family val="1"/>
    </font>
    <font>
      <u/>
      <sz val="11"/>
      <name val="Garamond"/>
    </font>
    <font>
      <sz val="8"/>
      <color indexed="81"/>
      <name val="Tahoma"/>
    </font>
    <font>
      <sz val="8"/>
      <color indexed="81"/>
      <name val="Tahoma"/>
      <family val="2"/>
    </font>
    <font>
      <b/>
      <sz val="8"/>
      <color indexed="81"/>
      <name val="Tahoma"/>
    </font>
  </fonts>
  <fills count="5">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4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xf numFmtId="16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445">
    <xf numFmtId="0" fontId="0" fillId="0" borderId="0" xfId="0"/>
    <xf numFmtId="0" fontId="0" fillId="0" borderId="0" xfId="0" applyBorder="1"/>
    <xf numFmtId="0" fontId="6" fillId="0" borderId="0" xfId="0" applyFont="1" applyBorder="1"/>
    <xf numFmtId="0" fontId="0" fillId="0" borderId="1" xfId="0" applyBorder="1"/>
    <xf numFmtId="0" fontId="0" fillId="0" borderId="2" xfId="0" applyBorder="1"/>
    <xf numFmtId="0" fontId="0" fillId="0" borderId="3" xfId="0" applyBorder="1"/>
    <xf numFmtId="0" fontId="0" fillId="0" borderId="4" xfId="0" applyBorder="1"/>
    <xf numFmtId="0" fontId="4" fillId="0" borderId="0" xfId="0" applyFont="1" applyBorder="1"/>
    <xf numFmtId="0" fontId="0" fillId="0" borderId="5" xfId="0" applyBorder="1"/>
    <xf numFmtId="0" fontId="6"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left" indent="1"/>
    </xf>
    <xf numFmtId="0" fontId="0" fillId="0" borderId="6" xfId="0" applyBorder="1"/>
    <xf numFmtId="0" fontId="0" fillId="0" borderId="7" xfId="0" applyBorder="1"/>
    <xf numFmtId="0" fontId="0" fillId="0" borderId="8" xfId="0" applyBorder="1"/>
    <xf numFmtId="0" fontId="0" fillId="0" borderId="7" xfId="0" applyBorder="1" applyAlignment="1">
      <alignment horizontal="left"/>
    </xf>
    <xf numFmtId="0" fontId="0" fillId="0" borderId="0" xfId="0" applyAlignment="1">
      <alignment horizontal="left" indent="1"/>
    </xf>
    <xf numFmtId="0" fontId="0" fillId="0" borderId="0" xfId="0" applyAlignment="1">
      <alignment horizontal="left"/>
    </xf>
    <xf numFmtId="164" fontId="0" fillId="0" borderId="0" xfId="4" applyFont="1"/>
    <xf numFmtId="164" fontId="0" fillId="0" borderId="0" xfId="0" applyNumberFormat="1"/>
    <xf numFmtId="0" fontId="8" fillId="0" borderId="0" xfId="0" applyFont="1"/>
    <xf numFmtId="164" fontId="1" fillId="0" borderId="0" xfId="4"/>
    <xf numFmtId="164" fontId="1" fillId="0" borderId="0" xfId="4" applyBorder="1"/>
    <xf numFmtId="164" fontId="1" fillId="0" borderId="9" xfId="4" applyBorder="1"/>
    <xf numFmtId="164" fontId="0" fillId="0" borderId="10" xfId="4" applyFont="1" applyBorder="1"/>
    <xf numFmtId="164" fontId="0" fillId="0" borderId="9" xfId="4" applyFont="1" applyBorder="1"/>
    <xf numFmtId="0" fontId="2" fillId="0" borderId="1" xfId="0" applyFont="1" applyBorder="1"/>
    <xf numFmtId="0" fontId="0" fillId="0" borderId="4" xfId="0" applyBorder="1" applyAlignment="1">
      <alignment horizontal="left" indent="1"/>
    </xf>
    <xf numFmtId="0" fontId="6" fillId="0" borderId="0" xfId="0" applyFont="1"/>
    <xf numFmtId="0" fontId="0" fillId="0" borderId="0" xfId="0" applyNumberFormat="1" applyBorder="1" applyAlignment="1"/>
    <xf numFmtId="0" fontId="0" fillId="0" borderId="1" xfId="0" applyNumberFormat="1" applyBorder="1"/>
    <xf numFmtId="0" fontId="0" fillId="0" borderId="2" xfId="0" applyNumberFormat="1" applyBorder="1" applyAlignment="1">
      <alignment horizontal="right"/>
    </xf>
    <xf numFmtId="0" fontId="0" fillId="0" borderId="2" xfId="0" applyNumberFormat="1" applyBorder="1"/>
    <xf numFmtId="0" fontId="0" fillId="0" borderId="3" xfId="0" applyNumberFormat="1" applyBorder="1"/>
    <xf numFmtId="0" fontId="0" fillId="0" borderId="4" xfId="0" applyNumberFormat="1" applyBorder="1"/>
    <xf numFmtId="0" fontId="2" fillId="0" borderId="0" xfId="0" applyNumberFormat="1" applyFont="1" applyBorder="1"/>
    <xf numFmtId="0" fontId="0" fillId="0" borderId="0" xfId="0" applyNumberFormat="1" applyBorder="1"/>
    <xf numFmtId="0" fontId="0" fillId="0" borderId="5" xfId="0" applyNumberFormat="1" applyBorder="1"/>
    <xf numFmtId="0" fontId="0" fillId="0" borderId="7" xfId="0" applyNumberFormat="1" applyBorder="1"/>
    <xf numFmtId="0" fontId="0" fillId="0" borderId="8" xfId="0" applyNumberFormat="1" applyBorder="1"/>
    <xf numFmtId="0" fontId="6" fillId="0" borderId="1" xfId="0" applyNumberFormat="1" applyFont="1" applyBorder="1"/>
    <xf numFmtId="0" fontId="6" fillId="0" borderId="2" xfId="0" applyNumberFormat="1" applyFont="1" applyBorder="1"/>
    <xf numFmtId="0" fontId="6" fillId="0" borderId="4" xfId="0" applyNumberFormat="1" applyFont="1" applyBorder="1"/>
    <xf numFmtId="0" fontId="0" fillId="0" borderId="0" xfId="0" applyNumberFormat="1" applyFill="1" applyBorder="1"/>
    <xf numFmtId="0" fontId="0" fillId="0" borderId="0" xfId="0" applyNumberFormat="1" applyBorder="1" applyAlignment="1">
      <alignment horizontal="left"/>
    </xf>
    <xf numFmtId="0" fontId="6" fillId="0" borderId="0" xfId="0" applyNumberFormat="1" applyFont="1" applyBorder="1" applyAlignment="1">
      <alignment horizontal="left" indent="1"/>
    </xf>
    <xf numFmtId="0" fontId="6" fillId="0" borderId="6" xfId="0" applyNumberFormat="1" applyFont="1" applyBorder="1"/>
    <xf numFmtId="0" fontId="6" fillId="0" borderId="0" xfId="0" applyNumberFormat="1" applyFont="1" applyBorder="1"/>
    <xf numFmtId="0" fontId="3" fillId="0" borderId="7" xfId="0" applyNumberFormat="1" applyFont="1" applyBorder="1"/>
    <xf numFmtId="0" fontId="0" fillId="0" borderId="7" xfId="0" applyNumberFormat="1" applyBorder="1" applyAlignment="1"/>
    <xf numFmtId="0" fontId="3" fillId="0" borderId="7" xfId="0" applyNumberFormat="1" applyFont="1" applyBorder="1" applyAlignment="1"/>
    <xf numFmtId="0" fontId="3" fillId="0" borderId="0" xfId="0" applyNumberFormat="1" applyFont="1" applyBorder="1"/>
    <xf numFmtId="0" fontId="3" fillId="0" borderId="0" xfId="0" applyNumberFormat="1" applyFont="1" applyBorder="1" applyAlignment="1"/>
    <xf numFmtId="0" fontId="0" fillId="0" borderId="7" xfId="0" applyBorder="1" applyAlignment="1">
      <alignment horizontal="left" indent="1"/>
    </xf>
    <xf numFmtId="164" fontId="0" fillId="0" borderId="7" xfId="4" applyFont="1" applyBorder="1"/>
    <xf numFmtId="164" fontId="1" fillId="0" borderId="2" xfId="4" applyBorder="1"/>
    <xf numFmtId="164" fontId="1" fillId="0" borderId="7" xfId="4" applyBorder="1"/>
    <xf numFmtId="164" fontId="0" fillId="0" borderId="0" xfId="0" applyNumberFormat="1" applyBorder="1"/>
    <xf numFmtId="0" fontId="0" fillId="0" borderId="0" xfId="0" applyAlignment="1"/>
    <xf numFmtId="0" fontId="0" fillId="0" borderId="2" xfId="0" applyBorder="1" applyAlignment="1"/>
    <xf numFmtId="0" fontId="0" fillId="0" borderId="0" xfId="0" applyBorder="1" applyAlignment="1"/>
    <xf numFmtId="0" fontId="0" fillId="0" borderId="7" xfId="0" applyBorder="1" applyAlignment="1"/>
    <xf numFmtId="0" fontId="0" fillId="0" borderId="2" xfId="0" applyNumberFormat="1" applyBorder="1" applyAlignment="1"/>
    <xf numFmtId="164" fontId="1" fillId="0" borderId="0" xfId="4" applyBorder="1" applyAlignment="1"/>
    <xf numFmtId="164" fontId="0" fillId="0" borderId="0" xfId="4" applyFont="1" applyBorder="1" applyAlignment="1"/>
    <xf numFmtId="164" fontId="0" fillId="0" borderId="7" xfId="4" applyFont="1" applyBorder="1" applyAlignment="1"/>
    <xf numFmtId="0" fontId="0" fillId="0" borderId="0" xfId="0" applyFill="1" applyBorder="1"/>
    <xf numFmtId="0" fontId="6" fillId="0" borderId="0" xfId="0" applyFont="1" applyBorder="1" applyAlignment="1">
      <alignment horizontal="left" indent="1"/>
    </xf>
    <xf numFmtId="0" fontId="3" fillId="0" borderId="6" xfId="0" applyNumberFormat="1" applyFont="1" applyBorder="1"/>
    <xf numFmtId="0" fontId="3" fillId="0" borderId="7" xfId="0" applyFont="1" applyBorder="1"/>
    <xf numFmtId="0" fontId="3" fillId="0" borderId="8" xfId="0" applyNumberFormat="1" applyFont="1" applyBorder="1"/>
    <xf numFmtId="0" fontId="3" fillId="0" borderId="0" xfId="0" applyNumberFormat="1" applyFont="1" applyBorder="1" applyAlignment="1">
      <alignment horizontal="right"/>
    </xf>
    <xf numFmtId="2" fontId="0" fillId="0" borderId="0" xfId="0" applyNumberFormat="1" applyBorder="1"/>
    <xf numFmtId="0" fontId="0" fillId="0" borderId="11" xfId="0" applyBorder="1"/>
    <xf numFmtId="0" fontId="0" fillId="0" borderId="12" xfId="0" applyBorder="1"/>
    <xf numFmtId="0" fontId="0" fillId="0" borderId="13" xfId="0" applyBorder="1"/>
    <xf numFmtId="164" fontId="0" fillId="0" borderId="12" xfId="0" applyNumberFormat="1" applyBorder="1"/>
    <xf numFmtId="0" fontId="0" fillId="0" borderId="2" xfId="0" applyNumberFormat="1" applyBorder="1" applyAlignment="1">
      <alignment horizontal="left"/>
    </xf>
    <xf numFmtId="0" fontId="3" fillId="0" borderId="7" xfId="0" applyNumberFormat="1" applyFont="1" applyBorder="1" applyAlignment="1">
      <alignment horizontal="left"/>
    </xf>
    <xf numFmtId="2" fontId="0" fillId="0" borderId="0" xfId="0" applyNumberFormat="1" applyBorder="1" applyAlignment="1">
      <alignment horizontal="left"/>
    </xf>
    <xf numFmtId="2" fontId="0" fillId="0" borderId="12" xfId="0" applyNumberFormat="1" applyBorder="1" applyAlignment="1">
      <alignment horizontal="left"/>
    </xf>
    <xf numFmtId="164" fontId="0" fillId="0" borderId="0" xfId="0" applyNumberFormat="1" applyBorder="1" applyAlignment="1">
      <alignment horizontal="left"/>
    </xf>
    <xf numFmtId="0" fontId="3" fillId="0" borderId="7" xfId="0" applyFont="1" applyBorder="1" applyAlignment="1">
      <alignment horizontal="left"/>
    </xf>
    <xf numFmtId="0" fontId="0" fillId="0" borderId="12" xfId="0" applyBorder="1" applyAlignment="1">
      <alignment horizontal="left"/>
    </xf>
    <xf numFmtId="0" fontId="3" fillId="0" borderId="4" xfId="0" applyNumberFormat="1" applyFont="1" applyBorder="1"/>
    <xf numFmtId="0" fontId="3" fillId="0" borderId="0" xfId="0" applyNumberFormat="1" applyFont="1" applyBorder="1" applyAlignment="1">
      <alignment horizontal="left"/>
    </xf>
    <xf numFmtId="0" fontId="6" fillId="0" borderId="0" xfId="0" applyNumberFormat="1" applyFont="1" applyBorder="1" applyAlignment="1">
      <alignment horizontal="left"/>
    </xf>
    <xf numFmtId="2" fontId="6" fillId="0" borderId="0" xfId="0" applyNumberFormat="1" applyFont="1" applyBorder="1" applyAlignment="1">
      <alignment horizontal="left"/>
    </xf>
    <xf numFmtId="164" fontId="6" fillId="0" borderId="0" xfId="1" applyFont="1" applyBorder="1" applyAlignment="1">
      <alignment horizontal="left"/>
    </xf>
    <xf numFmtId="0" fontId="6" fillId="0" borderId="0" xfId="1" applyNumberFormat="1" applyFont="1" applyBorder="1" applyAlignment="1">
      <alignment horizontal="left"/>
    </xf>
    <xf numFmtId="2" fontId="6" fillId="0" borderId="0" xfId="1" applyNumberFormat="1" applyFont="1" applyBorder="1" applyAlignment="1">
      <alignment horizontal="left"/>
    </xf>
    <xf numFmtId="0" fontId="6" fillId="0" borderId="0" xfId="0" applyNumberFormat="1" applyFont="1" applyBorder="1" applyAlignment="1"/>
    <xf numFmtId="0" fontId="6" fillId="0" borderId="5" xfId="0" applyNumberFormat="1" applyFont="1" applyBorder="1"/>
    <xf numFmtId="0" fontId="2" fillId="0" borderId="2" xfId="0" applyFont="1" applyBorder="1"/>
    <xf numFmtId="0" fontId="0" fillId="0" borderId="0" xfId="0" applyNumberFormat="1" applyBorder="1" applyAlignment="1">
      <alignment horizontal="right"/>
    </xf>
    <xf numFmtId="164" fontId="6" fillId="0" borderId="0" xfId="1" applyFont="1" applyBorder="1" applyAlignment="1"/>
    <xf numFmtId="2" fontId="0" fillId="0" borderId="0" xfId="0" applyNumberFormat="1" applyAlignment="1">
      <alignment horizontal="left"/>
    </xf>
    <xf numFmtId="2" fontId="6" fillId="0" borderId="0" xfId="1" applyNumberFormat="1" applyFont="1" applyFill="1" applyBorder="1" applyAlignment="1">
      <alignment horizontal="left"/>
    </xf>
    <xf numFmtId="164" fontId="6" fillId="0" borderId="0" xfId="0" applyNumberFormat="1" applyFont="1" applyBorder="1" applyAlignment="1">
      <alignment horizontal="left"/>
    </xf>
    <xf numFmtId="0" fontId="3" fillId="0" borderId="5" xfId="0" applyNumberFormat="1" applyFont="1" applyBorder="1" applyAlignment="1">
      <alignment horizontal="left"/>
    </xf>
    <xf numFmtId="0" fontId="6" fillId="0" borderId="0" xfId="0" applyNumberFormat="1" applyFont="1" applyFill="1" applyBorder="1" applyAlignment="1">
      <alignment horizontal="left"/>
    </xf>
    <xf numFmtId="0" fontId="0" fillId="0" borderId="5" xfId="0" applyBorder="1" applyAlignment="1">
      <alignment horizontal="left"/>
    </xf>
    <xf numFmtId="0" fontId="0" fillId="0" borderId="0" xfId="0" applyFill="1" applyBorder="1" applyAlignment="1">
      <alignment horizontal="left"/>
    </xf>
    <xf numFmtId="164" fontId="0" fillId="0" borderId="12" xfId="0" applyNumberFormat="1" applyBorder="1" applyAlignment="1">
      <alignment horizontal="left"/>
    </xf>
    <xf numFmtId="0" fontId="0" fillId="0" borderId="13" xfId="0" applyBorder="1" applyAlignment="1">
      <alignment horizontal="left"/>
    </xf>
    <xf numFmtId="0" fontId="9" fillId="0" borderId="0" xfId="0" applyFont="1"/>
    <xf numFmtId="1" fontId="0" fillId="0" borderId="0" xfId="0" applyNumberFormat="1" applyAlignment="1">
      <alignment horizontal="left"/>
    </xf>
    <xf numFmtId="1" fontId="0" fillId="0" borderId="2" xfId="0" applyNumberFormat="1" applyBorder="1" applyAlignment="1">
      <alignment horizontal="left"/>
    </xf>
    <xf numFmtId="1" fontId="0" fillId="0" borderId="7" xfId="0" applyNumberFormat="1" applyBorder="1" applyAlignment="1">
      <alignment horizontal="left"/>
    </xf>
    <xf numFmtId="1" fontId="6" fillId="0" borderId="0" xfId="0" applyNumberFormat="1" applyFont="1" applyBorder="1" applyAlignment="1">
      <alignment horizontal="left"/>
    </xf>
    <xf numFmtId="0" fontId="3" fillId="0" borderId="4" xfId="0" applyFont="1" applyBorder="1"/>
    <xf numFmtId="0" fontId="3" fillId="0" borderId="0" xfId="0" applyFont="1" applyAlignment="1">
      <alignment horizontal="left"/>
    </xf>
    <xf numFmtId="0" fontId="3" fillId="0" borderId="5" xfId="0" applyFont="1" applyBorder="1" applyAlignment="1">
      <alignment horizontal="left"/>
    </xf>
    <xf numFmtId="0" fontId="0" fillId="0" borderId="0" xfId="0" applyBorder="1" applyAlignment="1">
      <alignment horizontal="right"/>
    </xf>
    <xf numFmtId="164" fontId="0" fillId="0" borderId="0" xfId="0" applyNumberFormat="1" applyBorder="1" applyAlignment="1">
      <alignment horizontal="left" indent="1"/>
    </xf>
    <xf numFmtId="164" fontId="0" fillId="0" borderId="0" xfId="0" applyNumberFormat="1" applyBorder="1" applyAlignment="1"/>
    <xf numFmtId="0" fontId="4" fillId="0" borderId="0" xfId="0" applyFont="1"/>
    <xf numFmtId="0" fontId="0" fillId="0" borderId="0" xfId="0" applyAlignment="1">
      <alignment horizontal="right"/>
    </xf>
    <xf numFmtId="9" fontId="0" fillId="0" borderId="0" xfId="3" applyFont="1" applyBorder="1"/>
    <xf numFmtId="164" fontId="6" fillId="0" borderId="0" xfId="0" applyNumberFormat="1" applyFont="1" applyBorder="1"/>
    <xf numFmtId="164" fontId="0" fillId="0" borderId="12" xfId="1" applyFont="1" applyBorder="1" applyAlignment="1">
      <alignment horizontal="left"/>
    </xf>
    <xf numFmtId="0" fontId="6" fillId="0" borderId="0" xfId="0" applyNumberFormat="1" applyFont="1" applyFill="1" applyBorder="1"/>
    <xf numFmtId="0" fontId="0" fillId="2" borderId="0" xfId="0" applyFill="1"/>
    <xf numFmtId="0" fontId="0" fillId="0" borderId="7" xfId="0" applyFill="1" applyBorder="1"/>
    <xf numFmtId="9" fontId="0" fillId="0" borderId="0" xfId="3" applyFont="1" applyBorder="1" applyAlignment="1">
      <alignment horizontal="left"/>
    </xf>
    <xf numFmtId="9" fontId="0" fillId="0" borderId="0" xfId="3" applyFont="1" applyAlignment="1">
      <alignment horizontal="left"/>
    </xf>
    <xf numFmtId="2" fontId="2" fillId="0" borderId="0" xfId="3" applyNumberFormat="1" applyFont="1" applyBorder="1" applyAlignment="1">
      <alignment horizontal="left"/>
    </xf>
    <xf numFmtId="0" fontId="0" fillId="0" borderId="0" xfId="0" applyBorder="1" applyAlignment="1" applyProtection="1">
      <alignment horizontal="left" indent="1"/>
    </xf>
    <xf numFmtId="9" fontId="0" fillId="3" borderId="14" xfId="3" applyFont="1" applyFill="1" applyBorder="1" applyAlignment="1" applyProtection="1">
      <alignment horizontal="center"/>
      <protection locked="0"/>
    </xf>
    <xf numFmtId="9" fontId="0" fillId="3" borderId="14" xfId="0" applyNumberFormat="1" applyFill="1" applyBorder="1" applyAlignment="1" applyProtection="1">
      <alignment horizontal="center"/>
      <protection locked="0"/>
    </xf>
    <xf numFmtId="9" fontId="7" fillId="3" borderId="15" xfId="3" applyFont="1" applyFill="1" applyBorder="1" applyAlignment="1" applyProtection="1">
      <alignment horizontal="center"/>
      <protection locked="0"/>
    </xf>
    <xf numFmtId="0" fontId="0" fillId="0" borderId="0" xfId="0" applyProtection="1"/>
    <xf numFmtId="0" fontId="0" fillId="0" borderId="1" xfId="0" applyBorder="1" applyProtection="1"/>
    <xf numFmtId="0" fontId="0" fillId="0" borderId="2" xfId="0" applyBorder="1" applyProtection="1"/>
    <xf numFmtId="0" fontId="0" fillId="0" borderId="3" xfId="0" applyBorder="1" applyProtection="1"/>
    <xf numFmtId="0" fontId="0" fillId="0" borderId="4" xfId="0" applyBorder="1" applyProtection="1"/>
    <xf numFmtId="0" fontId="4" fillId="0" borderId="0" xfId="0" applyFont="1" applyBorder="1" applyProtection="1"/>
    <xf numFmtId="0" fontId="0" fillId="0" borderId="0" xfId="0" applyBorder="1" applyProtection="1"/>
    <xf numFmtId="0" fontId="0" fillId="0" borderId="5" xfId="0" applyBorder="1" applyProtection="1"/>
    <xf numFmtId="0" fontId="6" fillId="0" borderId="0" xfId="0" applyFont="1" applyBorder="1" applyProtection="1"/>
    <xf numFmtId="0" fontId="0" fillId="0" borderId="6" xfId="0" applyBorder="1" applyProtection="1"/>
    <xf numFmtId="0" fontId="0" fillId="0" borderId="7" xfId="0" applyBorder="1" applyAlignment="1" applyProtection="1">
      <alignment horizontal="left"/>
    </xf>
    <xf numFmtId="0" fontId="0" fillId="0" borderId="7" xfId="0" applyBorder="1" applyProtection="1"/>
    <xf numFmtId="0" fontId="0" fillId="0" borderId="8" xfId="0" applyBorder="1" applyProtection="1"/>
    <xf numFmtId="0" fontId="0" fillId="0" borderId="2" xfId="0" applyBorder="1" applyAlignment="1" applyProtection="1">
      <alignment horizontal="right"/>
    </xf>
    <xf numFmtId="0" fontId="2" fillId="0" borderId="0" xfId="0" applyFont="1" applyBorder="1" applyProtection="1"/>
    <xf numFmtId="0" fontId="0" fillId="0" borderId="0" xfId="0" quotePrefix="1" applyProtection="1"/>
    <xf numFmtId="0" fontId="2" fillId="0" borderId="7" xfId="0" applyFont="1" applyBorder="1" applyProtection="1"/>
    <xf numFmtId="0" fontId="6" fillId="0" borderId="0" xfId="0" applyFont="1" applyBorder="1" applyAlignment="1" applyProtection="1">
      <alignment horizontal="left"/>
    </xf>
    <xf numFmtId="0" fontId="0" fillId="0" borderId="0" xfId="0" applyBorder="1" applyAlignment="1" applyProtection="1">
      <alignment horizontal="left"/>
    </xf>
    <xf numFmtId="0" fontId="0" fillId="0" borderId="0" xfId="0" applyFill="1" applyBorder="1" applyProtection="1"/>
    <xf numFmtId="0" fontId="0" fillId="0" borderId="16" xfId="0" applyBorder="1" applyProtection="1"/>
    <xf numFmtId="0" fontId="6" fillId="0" borderId="17" xfId="0" applyFont="1" applyBorder="1" applyProtection="1"/>
    <xf numFmtId="0" fontId="0" fillId="0" borderId="17" xfId="0" applyBorder="1" applyProtection="1"/>
    <xf numFmtId="0" fontId="0" fillId="0" borderId="18" xfId="0" applyBorder="1" applyProtection="1"/>
    <xf numFmtId="166" fontId="0" fillId="0" borderId="0" xfId="4" applyNumberFormat="1" applyFont="1" applyBorder="1" applyProtection="1"/>
    <xf numFmtId="166" fontId="0" fillId="0" borderId="0" xfId="4" applyNumberFormat="1" applyFont="1" applyBorder="1" applyAlignment="1" applyProtection="1">
      <alignment horizontal="left"/>
    </xf>
    <xf numFmtId="0" fontId="0" fillId="0" borderId="19" xfId="0" applyBorder="1" applyProtection="1"/>
    <xf numFmtId="0" fontId="0" fillId="0" borderId="19" xfId="0" applyBorder="1" applyAlignment="1" applyProtection="1"/>
    <xf numFmtId="0" fontId="0" fillId="0" borderId="0" xfId="0" applyBorder="1" applyAlignment="1" applyProtection="1"/>
    <xf numFmtId="0" fontId="0" fillId="0" borderId="0" xfId="0" applyFill="1" applyBorder="1" applyAlignment="1" applyProtection="1">
      <alignment horizontal="left" indent="1"/>
    </xf>
    <xf numFmtId="0" fontId="0" fillId="0" borderId="20" xfId="0" applyBorder="1" applyProtection="1"/>
    <xf numFmtId="166" fontId="0" fillId="0" borderId="17" xfId="4" applyNumberFormat="1" applyFont="1" applyBorder="1" applyProtection="1"/>
    <xf numFmtId="0" fontId="0" fillId="0" borderId="12" xfId="0" applyBorder="1" applyProtection="1"/>
    <xf numFmtId="166" fontId="0" fillId="0" borderId="12" xfId="4" applyNumberFormat="1" applyFont="1" applyBorder="1" applyProtection="1"/>
    <xf numFmtId="0" fontId="5" fillId="0" borderId="0" xfId="0" applyFont="1" applyBorder="1" applyAlignment="1" applyProtection="1">
      <alignment horizontal="left"/>
    </xf>
    <xf numFmtId="164" fontId="0" fillId="0" borderId="0" xfId="4" applyFont="1" applyBorder="1" applyProtection="1"/>
    <xf numFmtId="170" fontId="2" fillId="4" borderId="0" xfId="0" applyNumberFormat="1" applyFont="1" applyFill="1" applyBorder="1" applyAlignment="1" applyProtection="1">
      <alignment horizontal="left"/>
    </xf>
    <xf numFmtId="0" fontId="0" fillId="0" borderId="0" xfId="0" applyBorder="1" applyAlignment="1" applyProtection="1">
      <alignment horizontal="center"/>
    </xf>
    <xf numFmtId="0" fontId="3" fillId="0" borderId="17" xfId="0" applyFont="1" applyBorder="1" applyAlignment="1" applyProtection="1">
      <alignment horizontal="center"/>
    </xf>
    <xf numFmtId="168" fontId="0" fillId="0" borderId="0" xfId="4" applyNumberFormat="1" applyFont="1" applyBorder="1" applyAlignment="1" applyProtection="1">
      <alignment horizontal="center"/>
    </xf>
    <xf numFmtId="9" fontId="7" fillId="0" borderId="12" xfId="3" applyFont="1" applyBorder="1" applyProtection="1"/>
    <xf numFmtId="168" fontId="0" fillId="0" borderId="12" xfId="0" applyNumberFormat="1" applyBorder="1" applyProtection="1"/>
    <xf numFmtId="168" fontId="0" fillId="0" borderId="12" xfId="4" applyNumberFormat="1" applyFont="1" applyBorder="1" applyProtection="1"/>
    <xf numFmtId="9" fontId="7" fillId="0" borderId="17" xfId="3" applyFont="1" applyBorder="1" applyProtection="1"/>
    <xf numFmtId="9" fontId="7" fillId="0" borderId="17" xfId="3" applyFont="1" applyFill="1" applyBorder="1" applyProtection="1"/>
    <xf numFmtId="0" fontId="5" fillId="0" borderId="0" xfId="0" applyFont="1" applyBorder="1" applyProtection="1"/>
    <xf numFmtId="9" fontId="7" fillId="0" borderId="0" xfId="3" applyFont="1" applyBorder="1" applyProtection="1"/>
    <xf numFmtId="0" fontId="0" fillId="0" borderId="0" xfId="0" applyAlignment="1" applyProtection="1">
      <alignment horizontal="left"/>
    </xf>
    <xf numFmtId="164" fontId="0" fillId="0" borderId="0" xfId="1" applyFont="1" applyAlignment="1" applyProtection="1"/>
    <xf numFmtId="1" fontId="0" fillId="0" borderId="2" xfId="0" applyNumberFormat="1" applyBorder="1" applyAlignment="1" applyProtection="1">
      <alignment horizontal="left"/>
    </xf>
    <xf numFmtId="0" fontId="4" fillId="0" borderId="0" xfId="0" applyFont="1" applyProtection="1"/>
    <xf numFmtId="1" fontId="0" fillId="0" borderId="0" xfId="0" applyNumberFormat="1" applyAlignment="1" applyProtection="1">
      <alignment horizontal="left"/>
    </xf>
    <xf numFmtId="0" fontId="6" fillId="0" borderId="0" xfId="0" applyFont="1" applyProtection="1"/>
    <xf numFmtId="1" fontId="0" fillId="0" borderId="7" xfId="0" applyNumberFormat="1" applyBorder="1" applyAlignment="1" applyProtection="1">
      <alignment horizontal="left"/>
    </xf>
    <xf numFmtId="0" fontId="0" fillId="0" borderId="1" xfId="0" applyNumberFormat="1" applyBorder="1" applyProtection="1"/>
    <xf numFmtId="0" fontId="0" fillId="0" borderId="2" xfId="0" applyNumberFormat="1" applyBorder="1" applyAlignment="1" applyProtection="1">
      <alignment horizontal="right"/>
    </xf>
    <xf numFmtId="0" fontId="0" fillId="0" borderId="2" xfId="0" applyNumberFormat="1" applyBorder="1" applyProtection="1"/>
    <xf numFmtId="0" fontId="0" fillId="0" borderId="2" xfId="0" applyNumberFormat="1" applyBorder="1" applyAlignment="1" applyProtection="1">
      <alignment horizontal="left"/>
    </xf>
    <xf numFmtId="0" fontId="0" fillId="0" borderId="3" xfId="0" applyNumberFormat="1" applyBorder="1" applyProtection="1"/>
    <xf numFmtId="0" fontId="0" fillId="0" borderId="4" xfId="0" applyNumberFormat="1" applyBorder="1" applyProtection="1"/>
    <xf numFmtId="0" fontId="2" fillId="0" borderId="0" xfId="0" applyNumberFormat="1" applyFont="1" applyBorder="1" applyProtection="1"/>
    <xf numFmtId="0" fontId="0" fillId="0" borderId="0" xfId="0" applyNumberFormat="1" applyBorder="1" applyProtection="1"/>
    <xf numFmtId="0" fontId="0" fillId="0" borderId="0" xfId="0" applyNumberFormat="1" applyBorder="1" applyAlignment="1" applyProtection="1">
      <alignment horizontal="left"/>
    </xf>
    <xf numFmtId="0" fontId="3" fillId="0" borderId="0" xfId="0" applyNumberFormat="1" applyFont="1" applyBorder="1" applyAlignment="1" applyProtection="1">
      <alignment horizontal="right"/>
    </xf>
    <xf numFmtId="0" fontId="0" fillId="0" borderId="5" xfId="0" applyNumberFormat="1" applyBorder="1" applyProtection="1"/>
    <xf numFmtId="0" fontId="9" fillId="0" borderId="0" xfId="0" applyFont="1" applyProtection="1"/>
    <xf numFmtId="0" fontId="3" fillId="0" borderId="6" xfId="0" applyNumberFormat="1" applyFont="1" applyBorder="1" applyProtection="1"/>
    <xf numFmtId="0" fontId="3" fillId="0" borderId="7" xfId="0" applyNumberFormat="1" applyFont="1" applyBorder="1" applyProtection="1"/>
    <xf numFmtId="0" fontId="3" fillId="0" borderId="7" xfId="0" applyNumberFormat="1" applyFont="1" applyBorder="1" applyAlignment="1" applyProtection="1"/>
    <xf numFmtId="0" fontId="3" fillId="0" borderId="7" xfId="0" applyNumberFormat="1" applyFont="1" applyBorder="1" applyAlignment="1" applyProtection="1">
      <alignment horizontal="left"/>
    </xf>
    <xf numFmtId="0" fontId="3" fillId="0" borderId="7" xfId="0" applyFont="1" applyBorder="1" applyProtection="1"/>
    <xf numFmtId="0" fontId="3" fillId="0" borderId="7" xfId="0" applyFont="1" applyBorder="1" applyAlignment="1" applyProtection="1">
      <alignment horizontal="left"/>
    </xf>
    <xf numFmtId="0" fontId="3" fillId="0" borderId="8" xfId="0" applyNumberFormat="1" applyFont="1" applyBorder="1" applyProtection="1"/>
    <xf numFmtId="2" fontId="0" fillId="0" borderId="0" xfId="0" applyNumberFormat="1" applyBorder="1" applyAlignment="1" applyProtection="1">
      <alignment horizontal="left"/>
    </xf>
    <xf numFmtId="2" fontId="0" fillId="0" borderId="0" xfId="0" applyNumberFormat="1" applyBorder="1" applyProtection="1"/>
    <xf numFmtId="164" fontId="0" fillId="0" borderId="0" xfId="0" applyNumberFormat="1" applyBorder="1" applyProtection="1"/>
    <xf numFmtId="164" fontId="0" fillId="0" borderId="0" xfId="0" applyNumberFormat="1" applyBorder="1" applyAlignment="1" applyProtection="1">
      <alignment horizontal="left"/>
    </xf>
    <xf numFmtId="0" fontId="0" fillId="0" borderId="5" xfId="0" applyBorder="1" applyAlignment="1" applyProtection="1">
      <alignment horizontal="left"/>
    </xf>
    <xf numFmtId="0" fontId="6" fillId="0" borderId="0" xfId="0" applyFont="1" applyBorder="1" applyAlignment="1" applyProtection="1">
      <alignment horizontal="left" indent="1"/>
    </xf>
    <xf numFmtId="0" fontId="0" fillId="0" borderId="0" xfId="0" applyFill="1" applyBorder="1" applyAlignment="1" applyProtection="1">
      <alignment horizontal="left"/>
    </xf>
    <xf numFmtId="0" fontId="0" fillId="0" borderId="11" xfId="0" applyBorder="1" applyProtection="1"/>
    <xf numFmtId="2" fontId="0" fillId="0" borderId="12" xfId="0" applyNumberFormat="1" applyBorder="1" applyAlignment="1" applyProtection="1">
      <alignment horizontal="left"/>
    </xf>
    <xf numFmtId="164" fontId="0" fillId="0" borderId="12" xfId="0" applyNumberFormat="1" applyBorder="1" applyProtection="1"/>
    <xf numFmtId="0" fontId="0" fillId="0" borderId="13" xfId="0" applyBorder="1" applyProtection="1"/>
    <xf numFmtId="9" fontId="0" fillId="0" borderId="0" xfId="0" applyNumberFormat="1" applyBorder="1" applyProtection="1"/>
    <xf numFmtId="0" fontId="8" fillId="0" borderId="0" xfId="0" applyFont="1" applyBorder="1" applyProtection="1"/>
    <xf numFmtId="0" fontId="0" fillId="3" borderId="21" xfId="0" applyFill="1" applyBorder="1" applyProtection="1">
      <protection locked="0"/>
    </xf>
    <xf numFmtId="0" fontId="0" fillId="3" borderId="22" xfId="0" applyFill="1" applyBorder="1" applyProtection="1">
      <protection locked="0"/>
    </xf>
    <xf numFmtId="0" fontId="0" fillId="3" borderId="23" xfId="0" applyFill="1" applyBorder="1" applyProtection="1">
      <protection locked="0"/>
    </xf>
    <xf numFmtId="0" fontId="6" fillId="3" borderId="24" xfId="0" applyFont="1" applyFill="1" applyBorder="1" applyProtection="1">
      <protection locked="0"/>
    </xf>
    <xf numFmtId="0" fontId="0" fillId="3" borderId="25" xfId="0" applyFill="1" applyBorder="1" applyProtection="1">
      <protection locked="0"/>
    </xf>
    <xf numFmtId="0" fontId="0" fillId="3" borderId="26" xfId="0" applyFill="1" applyBorder="1" applyProtection="1">
      <protection locked="0"/>
    </xf>
    <xf numFmtId="0" fontId="0" fillId="3" borderId="27" xfId="0" applyFill="1" applyBorder="1" applyProtection="1">
      <protection locked="0"/>
    </xf>
    <xf numFmtId="0" fontId="0" fillId="3" borderId="28" xfId="0" applyFill="1" applyBorder="1" applyProtection="1">
      <protection locked="0"/>
    </xf>
    <xf numFmtId="0" fontId="0" fillId="3" borderId="24" xfId="0" applyFill="1" applyBorder="1" applyProtection="1">
      <protection locked="0"/>
    </xf>
    <xf numFmtId="0" fontId="3" fillId="0" borderId="13" xfId="0" applyFont="1" applyBorder="1" applyAlignment="1">
      <alignment horizontal="left"/>
    </xf>
    <xf numFmtId="0" fontId="0" fillId="0" borderId="29" xfId="0" applyBorder="1"/>
    <xf numFmtId="0" fontId="0" fillId="0" borderId="29" xfId="0" applyBorder="1" applyAlignment="1">
      <alignment horizontal="left"/>
    </xf>
    <xf numFmtId="0" fontId="7" fillId="0" borderId="0" xfId="0" applyFont="1" applyFill="1" applyBorder="1" applyProtection="1"/>
    <xf numFmtId="168" fontId="0" fillId="0" borderId="5" xfId="4" applyNumberFormat="1" applyFont="1" applyFill="1" applyBorder="1" applyAlignment="1" applyProtection="1">
      <alignment horizontal="center"/>
    </xf>
    <xf numFmtId="168" fontId="0" fillId="0" borderId="5" xfId="4" applyNumberFormat="1" applyFont="1" applyFill="1" applyBorder="1" applyProtection="1"/>
    <xf numFmtId="0" fontId="3" fillId="0" borderId="17" xfId="0" applyFont="1" applyBorder="1" applyAlignment="1" applyProtection="1">
      <alignment horizontal="left" textRotation="75"/>
    </xf>
    <xf numFmtId="0" fontId="3" fillId="0" borderId="0" xfId="0" applyFont="1" applyBorder="1" applyAlignment="1" applyProtection="1">
      <alignment horizontal="left" textRotation="75"/>
    </xf>
    <xf numFmtId="168" fontId="0" fillId="0" borderId="30" xfId="4" applyNumberFormat="1" applyFont="1" applyBorder="1" applyAlignment="1" applyProtection="1">
      <alignment horizontal="center"/>
    </xf>
    <xf numFmtId="168" fontId="0" fillId="0" borderId="31" xfId="4" applyNumberFormat="1" applyFont="1" applyBorder="1" applyAlignment="1" applyProtection="1">
      <alignment horizontal="center"/>
    </xf>
    <xf numFmtId="168" fontId="0" fillId="0" borderId="32" xfId="4" applyNumberFormat="1" applyFont="1" applyBorder="1" applyAlignment="1" applyProtection="1">
      <alignment horizontal="center"/>
    </xf>
    <xf numFmtId="0" fontId="1" fillId="0" borderId="5" xfId="0" applyFont="1" applyBorder="1" applyProtection="1"/>
    <xf numFmtId="0" fontId="3" fillId="0" borderId="5" xfId="0" applyFont="1" applyFill="1" applyBorder="1" applyAlignment="1" applyProtection="1">
      <alignment horizontal="center"/>
    </xf>
    <xf numFmtId="167" fontId="0" fillId="0" borderId="0" xfId="0" applyNumberFormat="1" applyBorder="1" applyAlignment="1" applyProtection="1"/>
    <xf numFmtId="0" fontId="0" fillId="0" borderId="33" xfId="0" applyBorder="1" applyProtection="1"/>
    <xf numFmtId="0" fontId="0" fillId="4" borderId="0" xfId="0" applyFill="1" applyProtection="1"/>
    <xf numFmtId="0" fontId="0" fillId="4" borderId="0" xfId="0" applyFill="1" applyAlignment="1" applyProtection="1">
      <alignment horizontal="left"/>
    </xf>
    <xf numFmtId="0" fontId="0" fillId="4" borderId="1" xfId="0" applyFill="1" applyBorder="1" applyProtection="1"/>
    <xf numFmtId="0" fontId="0" fillId="4" borderId="2" xfId="0" applyFill="1" applyBorder="1" applyProtection="1"/>
    <xf numFmtId="1" fontId="0" fillId="4" borderId="2" xfId="0" applyNumberFormat="1" applyFill="1" applyBorder="1" applyAlignment="1" applyProtection="1">
      <alignment horizontal="left"/>
    </xf>
    <xf numFmtId="0" fontId="0" fillId="4" borderId="3" xfId="0" applyFill="1" applyBorder="1" applyProtection="1"/>
    <xf numFmtId="0" fontId="0" fillId="4" borderId="4" xfId="0" applyFill="1" applyBorder="1" applyProtection="1"/>
    <xf numFmtId="0" fontId="4" fillId="4" borderId="0" xfId="0" applyFont="1" applyFill="1" applyProtection="1"/>
    <xf numFmtId="1" fontId="0" fillId="4" borderId="0" xfId="0" applyNumberFormat="1" applyFill="1" applyAlignment="1" applyProtection="1">
      <alignment horizontal="left"/>
    </xf>
    <xf numFmtId="0" fontId="0" fillId="4" borderId="5" xfId="0" applyFill="1" applyBorder="1" applyProtection="1"/>
    <xf numFmtId="0" fontId="6" fillId="4" borderId="0" xfId="0" applyFont="1" applyFill="1" applyProtection="1"/>
    <xf numFmtId="0" fontId="0" fillId="4" borderId="6" xfId="0" applyFill="1" applyBorder="1" applyProtection="1"/>
    <xf numFmtId="0" fontId="0" fillId="4" borderId="7" xfId="0" applyFill="1" applyBorder="1" applyAlignment="1" applyProtection="1">
      <alignment horizontal="left"/>
    </xf>
    <xf numFmtId="0" fontId="0" fillId="4" borderId="7" xfId="0" applyFill="1" applyBorder="1" applyProtection="1"/>
    <xf numFmtId="1" fontId="0" fillId="4" borderId="7" xfId="0" applyNumberFormat="1" applyFill="1" applyBorder="1" applyAlignment="1" applyProtection="1">
      <alignment horizontal="left"/>
    </xf>
    <xf numFmtId="0" fontId="0" fillId="4" borderId="8" xfId="0" applyFill="1" applyBorder="1" applyProtection="1"/>
    <xf numFmtId="0" fontId="0" fillId="4" borderId="1" xfId="0" applyNumberFormat="1" applyFill="1" applyBorder="1" applyProtection="1"/>
    <xf numFmtId="0" fontId="0" fillId="4" borderId="2" xfId="0" applyNumberFormat="1" applyFill="1" applyBorder="1" applyAlignment="1" applyProtection="1">
      <alignment horizontal="right"/>
    </xf>
    <xf numFmtId="0" fontId="0" fillId="4" borderId="2" xfId="0" applyNumberFormat="1" applyFill="1" applyBorder="1" applyProtection="1"/>
    <xf numFmtId="0" fontId="0" fillId="4" borderId="2" xfId="0" applyNumberFormat="1" applyFill="1" applyBorder="1" applyAlignment="1" applyProtection="1">
      <alignment horizontal="left"/>
    </xf>
    <xf numFmtId="0" fontId="0" fillId="4" borderId="3" xfId="0" applyNumberFormat="1" applyFill="1" applyBorder="1" applyProtection="1"/>
    <xf numFmtId="0" fontId="0" fillId="4" borderId="4" xfId="0" applyNumberFormat="1" applyFill="1" applyBorder="1" applyProtection="1"/>
    <xf numFmtId="0" fontId="2" fillId="4" borderId="0" xfId="0" applyNumberFormat="1" applyFont="1" applyFill="1" applyBorder="1" applyProtection="1"/>
    <xf numFmtId="0" fontId="0" fillId="4" borderId="0" xfId="0" applyNumberFormat="1" applyFill="1" applyBorder="1" applyProtection="1"/>
    <xf numFmtId="0" fontId="0" fillId="4" borderId="0" xfId="0" applyNumberFormat="1" applyFill="1" applyBorder="1" applyAlignment="1" applyProtection="1">
      <alignment horizontal="left"/>
    </xf>
    <xf numFmtId="0" fontId="0" fillId="4" borderId="0" xfId="0" applyFill="1" applyBorder="1" applyProtection="1"/>
    <xf numFmtId="0" fontId="3" fillId="4" borderId="0" xfId="0" applyNumberFormat="1" applyFont="1" applyFill="1" applyBorder="1" applyAlignment="1" applyProtection="1">
      <alignment horizontal="right"/>
    </xf>
    <xf numFmtId="0" fontId="0" fillId="4" borderId="5" xfId="0" applyNumberFormat="1" applyFill="1" applyBorder="1" applyProtection="1"/>
    <xf numFmtId="0" fontId="9" fillId="4" borderId="0" xfId="0" applyFont="1" applyFill="1" applyProtection="1"/>
    <xf numFmtId="0" fontId="3" fillId="4" borderId="6" xfId="0" applyNumberFormat="1" applyFont="1" applyFill="1" applyBorder="1" applyProtection="1"/>
    <xf numFmtId="0" fontId="3" fillId="4" borderId="7" xfId="0" applyNumberFormat="1" applyFont="1" applyFill="1" applyBorder="1" applyProtection="1"/>
    <xf numFmtId="0" fontId="3" fillId="4" borderId="7" xfId="0" applyNumberFormat="1" applyFont="1" applyFill="1" applyBorder="1" applyAlignment="1" applyProtection="1"/>
    <xf numFmtId="0" fontId="3" fillId="4" borderId="7" xfId="0" applyNumberFormat="1" applyFont="1" applyFill="1" applyBorder="1" applyAlignment="1" applyProtection="1">
      <alignment horizontal="left"/>
    </xf>
    <xf numFmtId="0" fontId="3" fillId="4" borderId="7" xfId="0" applyFont="1" applyFill="1" applyBorder="1" applyProtection="1"/>
    <xf numFmtId="0" fontId="3" fillId="4" borderId="7" xfId="0" applyFont="1" applyFill="1" applyBorder="1" applyAlignment="1" applyProtection="1">
      <alignment horizontal="left"/>
    </xf>
    <xf numFmtId="0" fontId="3" fillId="4" borderId="8" xfId="0" applyNumberFormat="1" applyFont="1" applyFill="1" applyBorder="1" applyProtection="1"/>
    <xf numFmtId="2" fontId="0" fillId="4" borderId="0" xfId="0" applyNumberFormat="1" applyFill="1" applyBorder="1" applyAlignment="1" applyProtection="1">
      <alignment horizontal="left"/>
    </xf>
    <xf numFmtId="2" fontId="0" fillId="4" borderId="0" xfId="0" applyNumberFormat="1" applyFill="1" applyBorder="1" applyProtection="1"/>
    <xf numFmtId="164" fontId="0" fillId="4" borderId="0" xfId="0" applyNumberFormat="1" applyFill="1" applyBorder="1" applyProtection="1"/>
    <xf numFmtId="0" fontId="0" fillId="4" borderId="0" xfId="0" applyFill="1" applyBorder="1" applyAlignment="1" applyProtection="1">
      <alignment horizontal="left"/>
    </xf>
    <xf numFmtId="164" fontId="0" fillId="4" borderId="0" xfId="0" applyNumberFormat="1" applyFill="1" applyBorder="1" applyAlignment="1" applyProtection="1">
      <alignment horizontal="left"/>
    </xf>
    <xf numFmtId="0" fontId="0" fillId="4" borderId="5" xfId="0" applyFill="1" applyBorder="1" applyAlignment="1" applyProtection="1">
      <alignment horizontal="left"/>
    </xf>
    <xf numFmtId="0" fontId="6" fillId="4" borderId="0" xfId="0" applyFont="1" applyFill="1" applyBorder="1" applyAlignment="1" applyProtection="1">
      <alignment horizontal="left" indent="1"/>
    </xf>
    <xf numFmtId="0" fontId="0" fillId="4" borderId="11" xfId="0" applyFill="1" applyBorder="1" applyProtection="1"/>
    <xf numFmtId="0" fontId="0" fillId="4" borderId="12" xfId="0" applyFill="1" applyBorder="1" applyProtection="1"/>
    <xf numFmtId="2" fontId="0" fillId="4" borderId="12" xfId="0" applyNumberFormat="1" applyFill="1" applyBorder="1" applyAlignment="1" applyProtection="1">
      <alignment horizontal="left"/>
    </xf>
    <xf numFmtId="164" fontId="0" fillId="4" borderId="12" xfId="0" applyNumberFormat="1" applyFill="1" applyBorder="1" applyProtection="1"/>
    <xf numFmtId="0" fontId="0" fillId="4" borderId="13" xfId="0" applyFill="1" applyBorder="1" applyProtection="1"/>
    <xf numFmtId="9" fontId="0" fillId="4" borderId="0" xfId="0" applyNumberFormat="1" applyFill="1" applyBorder="1" applyProtection="1"/>
    <xf numFmtId="0" fontId="2" fillId="4" borderId="0" xfId="0" applyFont="1" applyFill="1" applyBorder="1" applyProtection="1"/>
    <xf numFmtId="0" fontId="8" fillId="4" borderId="0" xfId="0" applyFont="1" applyFill="1" applyBorder="1" applyProtection="1"/>
    <xf numFmtId="2" fontId="0" fillId="4" borderId="0" xfId="0" applyNumberFormat="1" applyFill="1" applyAlignment="1" applyProtection="1">
      <alignment horizontal="left"/>
    </xf>
    <xf numFmtId="164" fontId="0" fillId="4" borderId="0" xfId="1" applyFont="1" applyFill="1" applyBorder="1" applyAlignment="1" applyProtection="1">
      <alignment horizontal="left"/>
    </xf>
    <xf numFmtId="0" fontId="3" fillId="4" borderId="7" xfId="0" applyNumberFormat="1" applyFont="1" applyFill="1" applyBorder="1" applyAlignment="1" applyProtection="1">
      <alignment horizontal="right"/>
    </xf>
    <xf numFmtId="0" fontId="3" fillId="0" borderId="7" xfId="0" applyNumberFormat="1" applyFont="1" applyBorder="1" applyAlignment="1">
      <alignment horizontal="right"/>
    </xf>
    <xf numFmtId="0" fontId="3" fillId="0" borderId="7" xfId="0" applyNumberFormat="1" applyFont="1" applyBorder="1" applyAlignment="1" applyProtection="1">
      <alignment horizontal="right"/>
    </xf>
    <xf numFmtId="0" fontId="3" fillId="4" borderId="4" xfId="0" applyNumberFormat="1" applyFont="1" applyFill="1" applyBorder="1" applyProtection="1"/>
    <xf numFmtId="0" fontId="3" fillId="4" borderId="0" xfId="0" applyNumberFormat="1" applyFont="1" applyFill="1" applyBorder="1" applyProtection="1"/>
    <xf numFmtId="0" fontId="3" fillId="4" borderId="0" xfId="0" applyNumberFormat="1" applyFont="1" applyFill="1" applyBorder="1" applyAlignment="1" applyProtection="1"/>
    <xf numFmtId="0" fontId="6" fillId="4" borderId="0" xfId="0" applyFont="1" applyFill="1" applyAlignment="1">
      <alignment horizontal="right"/>
    </xf>
    <xf numFmtId="0" fontId="0" fillId="4" borderId="0" xfId="0" applyFill="1" applyAlignment="1">
      <alignment horizontal="right"/>
    </xf>
    <xf numFmtId="0" fontId="0" fillId="4" borderId="0" xfId="0" applyFill="1" applyAlignment="1">
      <alignment horizontal="left" indent="1"/>
    </xf>
    <xf numFmtId="0" fontId="0" fillId="0" borderId="12" xfId="0" applyNumberFormat="1" applyBorder="1" applyProtection="1"/>
    <xf numFmtId="0" fontId="0" fillId="4" borderId="0" xfId="0" applyFill="1" applyProtection="1">
      <protection locked="0"/>
    </xf>
    <xf numFmtId="0" fontId="3" fillId="0" borderId="0" xfId="0" applyFont="1" applyBorder="1" applyProtection="1"/>
    <xf numFmtId="0" fontId="7" fillId="0" borderId="0" xfId="0" applyFont="1" applyBorder="1" applyProtection="1"/>
    <xf numFmtId="0" fontId="0" fillId="0" borderId="2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2" fillId="0" borderId="24" xfId="0" applyFont="1" applyBorder="1" applyAlignment="1">
      <alignment wrapText="1"/>
    </xf>
    <xf numFmtId="164" fontId="1" fillId="0" borderId="36" xfId="4" applyBorder="1" applyAlignment="1">
      <alignment horizontal="center"/>
    </xf>
    <xf numFmtId="0" fontId="0" fillId="0" borderId="5" xfId="0" applyBorder="1" applyAlignment="1">
      <alignment horizontal="left" indent="1"/>
    </xf>
    <xf numFmtId="164" fontId="0" fillId="0" borderId="31" xfId="4" applyFont="1" applyBorder="1"/>
    <xf numFmtId="169" fontId="0" fillId="0" borderId="27" xfId="2" applyNumberFormat="1" applyFont="1" applyBorder="1"/>
    <xf numFmtId="169" fontId="0" fillId="0" borderId="27" xfId="2" applyNumberFormat="1" applyFont="1" applyBorder="1" applyAlignment="1">
      <alignment horizontal="left" indent="1"/>
    </xf>
    <xf numFmtId="0" fontId="0" fillId="0" borderId="4" xfId="0" applyBorder="1" applyAlignment="1">
      <alignment horizontal="center"/>
    </xf>
    <xf numFmtId="0" fontId="2" fillId="0" borderId="37" xfId="0" applyFont="1" applyBorder="1" applyAlignment="1">
      <alignment horizontal="center"/>
    </xf>
    <xf numFmtId="0" fontId="2" fillId="0" borderId="38" xfId="0" applyFont="1" applyBorder="1" applyAlignment="1">
      <alignment horizontal="center"/>
    </xf>
    <xf numFmtId="164" fontId="2" fillId="0" borderId="39" xfId="4" applyFont="1"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2" fillId="0" borderId="42" xfId="0" applyFont="1" applyBorder="1" applyAlignment="1"/>
    <xf numFmtId="0" fontId="2" fillId="0" borderId="43" xfId="0" applyFont="1" applyBorder="1" applyAlignment="1"/>
    <xf numFmtId="9" fontId="0" fillId="0" borderId="12" xfId="3" applyFont="1" applyFill="1" applyBorder="1" applyAlignment="1" applyProtection="1">
      <alignment horizontal="center"/>
    </xf>
    <xf numFmtId="0" fontId="3" fillId="0" borderId="17" xfId="0" applyFont="1" applyBorder="1" applyAlignment="1" applyProtection="1">
      <alignment horizontal="right" textRotation="75" wrapText="1"/>
    </xf>
    <xf numFmtId="9" fontId="7" fillId="0" borderId="0" xfId="0" applyNumberFormat="1" applyFont="1" applyBorder="1" applyAlignment="1" applyProtection="1">
      <alignment horizontal="right"/>
    </xf>
    <xf numFmtId="9" fontId="7" fillId="0" borderId="12" xfId="0" applyNumberFormat="1" applyFont="1" applyBorder="1" applyAlignment="1" applyProtection="1">
      <alignment horizontal="right"/>
    </xf>
    <xf numFmtId="0" fontId="4" fillId="4" borderId="0" xfId="0" applyFont="1" applyFill="1" applyBorder="1" applyProtection="1"/>
    <xf numFmtId="0" fontId="6" fillId="4" borderId="0" xfId="0" applyFont="1" applyFill="1" applyBorder="1" applyProtection="1"/>
    <xf numFmtId="0" fontId="6" fillId="4" borderId="0" xfId="0" applyFont="1" applyFill="1" applyBorder="1" applyAlignment="1" applyProtection="1">
      <alignment horizontal="right"/>
    </xf>
    <xf numFmtId="0" fontId="0" fillId="4" borderId="0" xfId="0" applyFill="1" applyBorder="1" applyAlignment="1" applyProtection="1">
      <alignment horizontal="right"/>
    </xf>
    <xf numFmtId="0" fontId="0" fillId="4" borderId="0" xfId="0" applyFill="1" applyBorder="1" applyAlignment="1" applyProtection="1">
      <alignment horizontal="left" indent="1"/>
    </xf>
    <xf numFmtId="0" fontId="3" fillId="4" borderId="0" xfId="0" applyFont="1" applyFill="1" applyProtection="1"/>
    <xf numFmtId="0" fontId="3" fillId="4" borderId="0" xfId="0" applyNumberFormat="1" applyFont="1" applyFill="1" applyBorder="1" applyAlignment="1" applyProtection="1">
      <alignment horizontal="left"/>
    </xf>
    <xf numFmtId="0" fontId="3" fillId="4" borderId="0" xfId="0" applyFont="1" applyFill="1" applyBorder="1" applyProtection="1"/>
    <xf numFmtId="0" fontId="3" fillId="4" borderId="0" xfId="0" applyFont="1" applyFill="1" applyBorder="1" applyAlignment="1" applyProtection="1">
      <alignment horizontal="left"/>
    </xf>
    <xf numFmtId="0" fontId="3" fillId="4" borderId="5" xfId="0" applyNumberFormat="1" applyFont="1" applyFill="1" applyBorder="1" applyProtection="1"/>
    <xf numFmtId="0" fontId="0" fillId="4" borderId="2" xfId="0" applyFill="1" applyBorder="1" applyAlignment="1" applyProtection="1">
      <alignment horizontal="right"/>
    </xf>
    <xf numFmtId="0" fontId="0" fillId="4" borderId="2" xfId="0" applyFill="1" applyBorder="1" applyAlignment="1" applyProtection="1">
      <alignment horizontal="left"/>
    </xf>
    <xf numFmtId="0" fontId="2" fillId="4" borderId="0" xfId="0" applyFont="1" applyFill="1" applyProtection="1"/>
    <xf numFmtId="0" fontId="3" fillId="4" borderId="0" xfId="0" applyFont="1" applyFill="1" applyAlignment="1" applyProtection="1">
      <alignment horizontal="right"/>
    </xf>
    <xf numFmtId="0" fontId="3" fillId="4" borderId="6" xfId="0" applyFont="1" applyFill="1" applyBorder="1" applyProtection="1"/>
    <xf numFmtId="0" fontId="3" fillId="4" borderId="8" xfId="0" applyFont="1" applyFill="1" applyBorder="1" applyProtection="1"/>
    <xf numFmtId="0" fontId="3" fillId="4" borderId="2" xfId="0" applyFont="1" applyFill="1" applyBorder="1" applyProtection="1"/>
    <xf numFmtId="0" fontId="0" fillId="4" borderId="0" xfId="0" quotePrefix="1" applyFill="1" applyBorder="1" applyProtection="1"/>
    <xf numFmtId="0" fontId="3" fillId="4" borderId="0" xfId="0" applyFont="1" applyFill="1" applyBorder="1" applyAlignment="1" applyProtection="1">
      <alignment horizontal="right"/>
    </xf>
    <xf numFmtId="0" fontId="0" fillId="4" borderId="6" xfId="0" quotePrefix="1" applyFill="1" applyBorder="1" applyProtection="1"/>
    <xf numFmtId="0" fontId="0" fillId="4" borderId="0" xfId="0" quotePrefix="1" applyFill="1" applyProtection="1"/>
    <xf numFmtId="0" fontId="0" fillId="4" borderId="29" xfId="0" applyFill="1" applyBorder="1" applyProtection="1"/>
    <xf numFmtId="0" fontId="6" fillId="4" borderId="7" xfId="0" applyFont="1" applyFill="1" applyBorder="1" applyProtection="1"/>
    <xf numFmtId="0" fontId="0" fillId="4" borderId="4" xfId="0" quotePrefix="1" applyFill="1" applyBorder="1" applyProtection="1"/>
    <xf numFmtId="0" fontId="3" fillId="4" borderId="7" xfId="0" applyFont="1" applyFill="1" applyBorder="1" applyAlignment="1" applyProtection="1"/>
    <xf numFmtId="1" fontId="3" fillId="4" borderId="0" xfId="0" applyNumberFormat="1" applyFont="1" applyFill="1" applyBorder="1" applyAlignment="1" applyProtection="1">
      <alignment horizontal="left"/>
    </xf>
    <xf numFmtId="0" fontId="6" fillId="4" borderId="6" xfId="0" applyNumberFormat="1" applyFont="1" applyFill="1" applyBorder="1" applyProtection="1"/>
    <xf numFmtId="0" fontId="0" fillId="4" borderId="7" xfId="0" applyNumberFormat="1" applyFill="1" applyBorder="1" applyAlignment="1" applyProtection="1"/>
    <xf numFmtId="0" fontId="0" fillId="4" borderId="7" xfId="0" applyNumberFormat="1" applyFill="1" applyBorder="1" applyProtection="1"/>
    <xf numFmtId="0" fontId="0" fillId="4" borderId="8" xfId="0" applyNumberFormat="1" applyFill="1" applyBorder="1" applyProtection="1"/>
    <xf numFmtId="0" fontId="6" fillId="4" borderId="4" xfId="0" applyNumberFormat="1" applyFont="1" applyFill="1" applyBorder="1" applyProtection="1"/>
    <xf numFmtId="0" fontId="6" fillId="4" borderId="0" xfId="0" applyNumberFormat="1" applyFont="1" applyFill="1" applyBorder="1" applyProtection="1"/>
    <xf numFmtId="0" fontId="0" fillId="4" borderId="0" xfId="0" applyNumberFormat="1" applyFill="1" applyBorder="1" applyAlignment="1" applyProtection="1"/>
    <xf numFmtId="0" fontId="6" fillId="4" borderId="11" xfId="0" applyNumberFormat="1" applyFont="1" applyFill="1" applyBorder="1" applyProtection="1"/>
    <xf numFmtId="0" fontId="3" fillId="4" borderId="12" xfId="0" applyNumberFormat="1" applyFont="1" applyFill="1" applyBorder="1" applyAlignment="1" applyProtection="1">
      <alignment horizontal="left"/>
    </xf>
    <xf numFmtId="0" fontId="2" fillId="4" borderId="12" xfId="0" applyNumberFormat="1" applyFont="1" applyFill="1" applyBorder="1" applyAlignment="1" applyProtection="1">
      <alignment horizontal="left"/>
    </xf>
    <xf numFmtId="0" fontId="0" fillId="4" borderId="12" xfId="0" applyNumberFormat="1" applyFill="1" applyBorder="1" applyAlignment="1" applyProtection="1"/>
    <xf numFmtId="0" fontId="0" fillId="4" borderId="12" xfId="0" applyNumberFormat="1" applyFill="1" applyBorder="1" applyProtection="1"/>
    <xf numFmtId="0" fontId="1" fillId="4" borderId="12" xfId="4" applyNumberFormat="1" applyFill="1" applyBorder="1" applyProtection="1"/>
    <xf numFmtId="0" fontId="2" fillId="4" borderId="12" xfId="4" applyNumberFormat="1" applyFont="1" applyFill="1" applyBorder="1" applyProtection="1"/>
    <xf numFmtId="0" fontId="0" fillId="4" borderId="13" xfId="0" applyNumberFormat="1" applyFill="1" applyBorder="1" applyProtection="1"/>
    <xf numFmtId="0" fontId="0" fillId="4" borderId="6" xfId="0" applyNumberFormat="1" applyFill="1" applyBorder="1" applyProtection="1"/>
    <xf numFmtId="164" fontId="0" fillId="3" borderId="10" xfId="4" applyFont="1" applyFill="1" applyBorder="1" applyAlignment="1" applyProtection="1">
      <alignment horizontal="left" indent="1"/>
      <protection locked="0"/>
    </xf>
    <xf numFmtId="164" fontId="0" fillId="3" borderId="31" xfId="4" applyFont="1" applyFill="1" applyBorder="1" applyAlignment="1" applyProtection="1">
      <alignment horizontal="left" indent="1"/>
      <protection locked="0"/>
    </xf>
    <xf numFmtId="164" fontId="1" fillId="3" borderId="9" xfId="4" applyFill="1" applyBorder="1" applyProtection="1">
      <protection locked="0"/>
    </xf>
    <xf numFmtId="0" fontId="0" fillId="3" borderId="4" xfId="0" applyFill="1" applyBorder="1" applyProtection="1">
      <protection locked="0"/>
    </xf>
    <xf numFmtId="0" fontId="0" fillId="3" borderId="0" xfId="0" applyFill="1" applyBorder="1" applyProtection="1">
      <protection locked="0"/>
    </xf>
    <xf numFmtId="0" fontId="0" fillId="3" borderId="5" xfId="0" applyFill="1" applyBorder="1" applyProtection="1">
      <protection locked="0"/>
    </xf>
    <xf numFmtId="0" fontId="0" fillId="3" borderId="4" xfId="0" applyFill="1" applyBorder="1" applyAlignment="1" applyProtection="1">
      <alignment horizontal="center"/>
      <protection locked="0"/>
    </xf>
    <xf numFmtId="164" fontId="0" fillId="3" borderId="10" xfId="4" applyFont="1" applyFill="1" applyBorder="1" applyProtection="1">
      <protection locked="0"/>
    </xf>
    <xf numFmtId="169" fontId="0" fillId="3" borderId="27" xfId="2" applyNumberFormat="1" applyFont="1" applyFill="1" applyBorder="1" applyProtection="1">
      <protection locked="0"/>
    </xf>
    <xf numFmtId="164" fontId="0" fillId="3" borderId="9" xfId="4" applyFont="1" applyFill="1" applyBorder="1" applyProtection="1">
      <protection locked="0"/>
    </xf>
    <xf numFmtId="0" fontId="0" fillId="3" borderId="6" xfId="0" applyFill="1" applyBorder="1" applyProtection="1">
      <protection locked="0"/>
    </xf>
    <xf numFmtId="0" fontId="0" fillId="3" borderId="7" xfId="0" applyFill="1" applyBorder="1" applyProtection="1">
      <protection locked="0"/>
    </xf>
    <xf numFmtId="0" fontId="0" fillId="3" borderId="8" xfId="0" applyFill="1" applyBorder="1" applyProtection="1">
      <protection locked="0"/>
    </xf>
    <xf numFmtId="0" fontId="0" fillId="3" borderId="6" xfId="0" applyFill="1" applyBorder="1" applyAlignment="1" applyProtection="1">
      <alignment horizontal="center"/>
      <protection locked="0"/>
    </xf>
    <xf numFmtId="164" fontId="0" fillId="3" borderId="40" xfId="4" applyFont="1" applyFill="1" applyBorder="1" applyProtection="1">
      <protection locked="0"/>
    </xf>
    <xf numFmtId="164" fontId="1" fillId="3" borderId="36" xfId="4" applyFill="1" applyBorder="1" applyProtection="1">
      <protection locked="0"/>
    </xf>
    <xf numFmtId="169" fontId="0" fillId="3" borderId="44" xfId="2" applyNumberFormat="1" applyFont="1" applyFill="1" applyBorder="1" applyProtection="1">
      <protection locked="0"/>
    </xf>
    <xf numFmtId="164" fontId="0" fillId="3" borderId="36" xfId="4" applyFont="1" applyFill="1" applyBorder="1" applyProtection="1">
      <protection locked="0"/>
    </xf>
    <xf numFmtId="0" fontId="0" fillId="0" borderId="4" xfId="0" applyFill="1" applyBorder="1" applyAlignment="1" applyProtection="1">
      <alignment horizontal="center"/>
    </xf>
    <xf numFmtId="164" fontId="0" fillId="0" borderId="10" xfId="4" applyFont="1" applyFill="1" applyBorder="1" applyProtection="1"/>
    <xf numFmtId="164" fontId="0" fillId="0" borderId="31" xfId="4" applyFont="1" applyFill="1" applyBorder="1" applyProtection="1"/>
    <xf numFmtId="164" fontId="1" fillId="0" borderId="9" xfId="4" applyFill="1" applyBorder="1" applyProtection="1"/>
    <xf numFmtId="169" fontId="0" fillId="0" borderId="27" xfId="2" applyNumberFormat="1" applyFont="1" applyFill="1" applyBorder="1" applyProtection="1"/>
    <xf numFmtId="164" fontId="0" fillId="0" borderId="9" xfId="4" applyFont="1" applyFill="1" applyBorder="1" applyProtection="1"/>
    <xf numFmtId="164" fontId="0" fillId="0" borderId="10" xfId="4" applyFont="1" applyFill="1" applyBorder="1" applyAlignment="1" applyProtection="1">
      <alignment horizontal="left" indent="1"/>
    </xf>
    <xf numFmtId="164" fontId="0" fillId="0" borderId="31" xfId="4" applyFont="1" applyFill="1" applyBorder="1" applyAlignment="1" applyProtection="1">
      <alignment horizontal="left" indent="1"/>
    </xf>
    <xf numFmtId="164" fontId="0" fillId="3" borderId="40" xfId="4" applyFont="1" applyFill="1" applyBorder="1" applyAlignment="1" applyProtection="1">
      <alignment horizontal="left" indent="1"/>
      <protection locked="0"/>
    </xf>
    <xf numFmtId="164" fontId="0" fillId="3" borderId="41" xfId="4" applyFont="1" applyFill="1" applyBorder="1" applyAlignment="1" applyProtection="1">
      <alignment horizontal="left" indent="1"/>
      <protection locked="0"/>
    </xf>
    <xf numFmtId="0" fontId="0" fillId="0" borderId="0" xfId="0" applyAlignment="1" applyProtection="1">
      <alignment horizontal="left"/>
    </xf>
    <xf numFmtId="0" fontId="0" fillId="0" borderId="0" xfId="0" applyBorder="1" applyAlignment="1" applyProtection="1">
      <alignment horizontal="left"/>
    </xf>
    <xf numFmtId="0" fontId="2" fillId="3" borderId="15" xfId="0" applyFont="1" applyFill="1" applyBorder="1" applyAlignment="1" applyProtection="1">
      <alignment horizontal="left" indent="1"/>
      <protection locked="0"/>
    </xf>
    <xf numFmtId="164" fontId="0" fillId="3" borderId="15" xfId="1" applyFont="1" applyFill="1" applyBorder="1" applyAlignment="1" applyProtection="1">
      <alignment horizontal="center"/>
      <protection locked="0"/>
    </xf>
    <xf numFmtId="168" fontId="2" fillId="0" borderId="33" xfId="4" applyNumberFormat="1" applyFont="1" applyBorder="1" applyAlignment="1" applyProtection="1">
      <alignment horizontal="center"/>
    </xf>
    <xf numFmtId="166" fontId="0" fillId="0" borderId="17" xfId="4" applyNumberFormat="1" applyFont="1" applyBorder="1" applyAlignment="1" applyProtection="1">
      <alignment horizontal="center"/>
    </xf>
    <xf numFmtId="167" fontId="0" fillId="0" borderId="45" xfId="0" applyNumberFormat="1" applyBorder="1" applyAlignment="1" applyProtection="1">
      <alignment horizontal="left" indent="1"/>
    </xf>
    <xf numFmtId="167" fontId="0" fillId="0" borderId="0" xfId="0" applyNumberFormat="1" applyBorder="1" applyAlignment="1" applyProtection="1">
      <alignment horizontal="left" indent="1"/>
    </xf>
    <xf numFmtId="0" fontId="6" fillId="0" borderId="0" xfId="0" applyFont="1" applyBorder="1" applyAlignment="1" applyProtection="1">
      <alignment horizontal="left"/>
    </xf>
    <xf numFmtId="0" fontId="6" fillId="0" borderId="19" xfId="0" applyFont="1" applyBorder="1" applyAlignment="1" applyProtection="1">
      <alignment horizontal="left"/>
    </xf>
    <xf numFmtId="164" fontId="0" fillId="4" borderId="0" xfId="1" applyFont="1" applyFill="1" applyBorder="1" applyAlignment="1" applyProtection="1">
      <alignment horizontal="center"/>
    </xf>
    <xf numFmtId="166" fontId="2" fillId="0" borderId="45" xfId="4" applyNumberFormat="1" applyFont="1" applyBorder="1" applyAlignment="1" applyProtection="1">
      <alignment horizontal="left" indent="1"/>
    </xf>
    <xf numFmtId="166" fontId="2" fillId="0" borderId="0" xfId="4" applyNumberFormat="1" applyFont="1" applyBorder="1" applyAlignment="1" applyProtection="1">
      <alignment horizontal="left" indent="1"/>
    </xf>
    <xf numFmtId="166" fontId="0" fillId="0" borderId="0" xfId="4" applyNumberFormat="1" applyFont="1" applyBorder="1" applyAlignment="1" applyProtection="1">
      <alignment horizontal="left"/>
    </xf>
    <xf numFmtId="166" fontId="6" fillId="0" borderId="46" xfId="4" applyNumberFormat="1" applyFont="1" applyBorder="1" applyAlignment="1" applyProtection="1">
      <alignment horizontal="left"/>
    </xf>
    <xf numFmtId="166" fontId="6" fillId="0" borderId="14" xfId="4" applyNumberFormat="1" applyFont="1" applyBorder="1" applyAlignment="1" applyProtection="1">
      <alignment horizontal="left"/>
    </xf>
    <xf numFmtId="9" fontId="0" fillId="3" borderId="46" xfId="3" applyFont="1" applyFill="1" applyBorder="1" applyAlignment="1" applyProtection="1">
      <alignment horizontal="left" indent="1"/>
      <protection locked="0"/>
    </xf>
    <xf numFmtId="9" fontId="0" fillId="3" borderId="14" xfId="3" applyFont="1" applyFill="1" applyBorder="1" applyAlignment="1" applyProtection="1">
      <alignment horizontal="left" indent="1"/>
      <protection locked="0"/>
    </xf>
    <xf numFmtId="0" fontId="0" fillId="0" borderId="45" xfId="0" applyBorder="1" applyAlignment="1" applyProtection="1">
      <alignment horizontal="left" indent="1"/>
    </xf>
    <xf numFmtId="0" fontId="0" fillId="0" borderId="0" xfId="0" applyBorder="1" applyAlignment="1" applyProtection="1">
      <alignment horizontal="left" indent="1"/>
    </xf>
    <xf numFmtId="164" fontId="0" fillId="0" borderId="0" xfId="1" applyFont="1" applyAlignment="1" applyProtection="1">
      <alignment horizontal="center"/>
    </xf>
    <xf numFmtId="166" fontId="5" fillId="0" borderId="46" xfId="4" applyNumberFormat="1" applyFont="1" applyBorder="1" applyAlignment="1" applyProtection="1">
      <alignment horizontal="left"/>
    </xf>
    <xf numFmtId="166" fontId="5" fillId="0" borderId="14" xfId="4" applyNumberFormat="1" applyFont="1" applyBorder="1" applyAlignment="1" applyProtection="1">
      <alignment horizontal="left"/>
    </xf>
    <xf numFmtId="0" fontId="3" fillId="0" borderId="17" xfId="0" applyFont="1" applyBorder="1" applyAlignment="1" applyProtection="1">
      <alignment horizontal="center"/>
    </xf>
    <xf numFmtId="166" fontId="0" fillId="0" borderId="17" xfId="4" applyNumberFormat="1" applyFont="1" applyBorder="1" applyAlignment="1" applyProtection="1">
      <alignment horizontal="left"/>
    </xf>
    <xf numFmtId="167" fontId="0" fillId="3" borderId="46" xfId="0" applyNumberFormat="1" applyFill="1" applyBorder="1" applyAlignment="1" applyProtection="1">
      <alignment horizontal="left" indent="1"/>
      <protection locked="0"/>
    </xf>
    <xf numFmtId="167" fontId="0" fillId="3" borderId="12" xfId="0" applyNumberFormat="1" applyFill="1" applyBorder="1" applyAlignment="1" applyProtection="1">
      <alignment horizontal="left" indent="1"/>
      <protection locked="0"/>
    </xf>
    <xf numFmtId="167" fontId="0" fillId="3" borderId="14" xfId="0" applyNumberFormat="1" applyFill="1" applyBorder="1" applyAlignment="1" applyProtection="1">
      <alignment horizontal="left" indent="1"/>
      <protection locked="0"/>
    </xf>
    <xf numFmtId="0" fontId="0" fillId="3" borderId="46" xfId="0" applyFill="1" applyBorder="1" applyAlignment="1" applyProtection="1">
      <alignment horizontal="left" indent="1"/>
      <protection locked="0"/>
    </xf>
    <xf numFmtId="0" fontId="0" fillId="3" borderId="12" xfId="0" applyFill="1" applyBorder="1" applyAlignment="1" applyProtection="1">
      <alignment horizontal="left" indent="1"/>
      <protection locked="0"/>
    </xf>
    <xf numFmtId="0" fontId="0" fillId="3" borderId="14" xfId="0" applyFill="1" applyBorder="1" applyAlignment="1" applyProtection="1">
      <alignment horizontal="left" indent="1"/>
      <protection locked="0"/>
    </xf>
    <xf numFmtId="167" fontId="0" fillId="4" borderId="0" xfId="0" applyNumberFormat="1" applyFill="1" applyBorder="1" applyAlignment="1" applyProtection="1">
      <alignment horizontal="left" indent="1"/>
    </xf>
    <xf numFmtId="0" fontId="0" fillId="4" borderId="0" xfId="0" applyFill="1" applyBorder="1" applyAlignment="1" applyProtection="1">
      <alignment horizontal="center"/>
    </xf>
    <xf numFmtId="164" fontId="0" fillId="4" borderId="2" xfId="1" applyFont="1" applyFill="1" applyBorder="1" applyAlignment="1" applyProtection="1">
      <alignment horizontal="center"/>
    </xf>
    <xf numFmtId="164" fontId="0" fillId="3" borderId="11" xfId="1" applyFont="1" applyFill="1" applyBorder="1" applyAlignment="1" applyProtection="1">
      <alignment horizontal="center"/>
      <protection locked="0"/>
    </xf>
    <xf numFmtId="164" fontId="0" fillId="3" borderId="13" xfId="1" applyFont="1" applyFill="1" applyBorder="1" applyAlignment="1" applyProtection="1">
      <alignment horizontal="center"/>
      <protection locked="0"/>
    </xf>
    <xf numFmtId="164" fontId="0" fillId="3" borderId="47" xfId="1" applyFont="1" applyFill="1" applyBorder="1" applyAlignment="1" applyProtection="1">
      <alignment horizontal="center"/>
      <protection locked="0"/>
    </xf>
    <xf numFmtId="164" fontId="0" fillId="3" borderId="48" xfId="1" applyFont="1" applyFill="1" applyBorder="1" applyAlignment="1" applyProtection="1">
      <alignment horizontal="center"/>
      <protection locked="0"/>
    </xf>
    <xf numFmtId="164" fontId="0" fillId="4" borderId="12" xfId="1" applyFont="1" applyFill="1" applyBorder="1" applyAlignment="1" applyProtection="1">
      <alignment horizontal="center"/>
    </xf>
    <xf numFmtId="164" fontId="0" fillId="4" borderId="17" xfId="1" applyFont="1" applyFill="1" applyBorder="1" applyAlignment="1" applyProtection="1">
      <alignment horizontal="center"/>
    </xf>
    <xf numFmtId="0" fontId="2" fillId="0" borderId="0" xfId="0" applyFont="1" applyAlignment="1">
      <alignment horizontal="left" vertical="top" wrapText="1" indent="1"/>
    </xf>
    <xf numFmtId="0" fontId="6" fillId="0" borderId="0" xfId="0" applyFont="1" applyAlignment="1">
      <alignment horizontal="left" vertical="top" indent="1"/>
    </xf>
    <xf numFmtId="167" fontId="0" fillId="4" borderId="0" xfId="0" applyNumberFormat="1" applyFill="1" applyAlignment="1">
      <alignment horizontal="left" indent="1"/>
    </xf>
    <xf numFmtId="0" fontId="0" fillId="0" borderId="0" xfId="0" applyAlignment="1">
      <alignment horizontal="left" vertical="top" indent="1"/>
    </xf>
    <xf numFmtId="0" fontId="2" fillId="0" borderId="1" xfId="0" applyFont="1" applyBorder="1"/>
    <xf numFmtId="0" fontId="2" fillId="0" borderId="2" xfId="0" applyFont="1" applyBorder="1"/>
    <xf numFmtId="0" fontId="2" fillId="0" borderId="3" xfId="0" applyFont="1" applyBorder="1"/>
  </cellXfs>
  <cellStyles count="5">
    <cellStyle name="Euro" xfId="1"/>
    <cellStyle name="Komma" xfId="2" builtinId="3"/>
    <cellStyle name="Procent" xfId="3" builtinId="5"/>
    <cellStyle name="Standaard" xfId="0" builtinId="0"/>
    <cellStyle name="Valuta" xfId="4"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Drop" dropLines="3" dropStyle="combo" dx="22" fmlaLink="$R14" fmlaRange="Picklist!$B$1:$B$3" noThreeD="1" sel="2"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7.jpeg"/></Relationships>
</file>

<file path=xl/drawings/_rels/drawing5.xml.rels><?xml version="1.0" encoding="UTF-8" standalone="yes"?>
<Relationships xmlns="http://schemas.openxmlformats.org/package/2006/relationships"><Relationship Id="rId1" Type="http://schemas.openxmlformats.org/officeDocument/2006/relationships/image" Target="../media/image8.jpeg"/></Relationships>
</file>

<file path=xl/drawings/_rels/drawing6.xml.rels><?xml version="1.0" encoding="UTF-8" standalone="yes"?>
<Relationships xmlns="http://schemas.openxmlformats.org/package/2006/relationships"><Relationship Id="rId1" Type="http://schemas.openxmlformats.org/officeDocument/2006/relationships/image" Target="../media/image8.jpeg"/></Relationships>
</file>

<file path=xl/drawings/_rels/drawing7.xml.rels><?xml version="1.0" encoding="UTF-8" standalone="yes"?>
<Relationships xmlns="http://schemas.openxmlformats.org/package/2006/relationships"><Relationship Id="rId1" Type="http://schemas.openxmlformats.org/officeDocument/2006/relationships/image" Target="../media/image9.jpeg"/></Relationships>
</file>

<file path=xl/drawings/_rels/drawing8.xml.rels><?xml version="1.0" encoding="UTF-8" standalone="yes"?>
<Relationships xmlns="http://schemas.openxmlformats.org/package/2006/relationships"><Relationship Id="rId1" Type="http://schemas.openxmlformats.org/officeDocument/2006/relationships/image" Target="../media/image8.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0.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10</xdr:col>
      <xdr:colOff>419100</xdr:colOff>
      <xdr:row>4</xdr:row>
      <xdr:rowOff>47625</xdr:rowOff>
    </xdr:from>
    <xdr:to>
      <xdr:col>14</xdr:col>
      <xdr:colOff>704850</xdr:colOff>
      <xdr:row>8</xdr:row>
      <xdr:rowOff>9525</xdr:rowOff>
    </xdr:to>
    <xdr:pic>
      <xdr:nvPicPr>
        <xdr:cNvPr id="1074" name="Picture 50" descr="C:\Documents and Settings\Groene Zaken\Mijn documenten\Mijn afbeeldingen\GZ 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29200" y="733425"/>
          <a:ext cx="247650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666750</xdr:colOff>
      <xdr:row>3</xdr:row>
      <xdr:rowOff>123825</xdr:rowOff>
    </xdr:from>
    <xdr:to>
      <xdr:col>15</xdr:col>
      <xdr:colOff>85725</xdr:colOff>
      <xdr:row>7</xdr:row>
      <xdr:rowOff>38100</xdr:rowOff>
    </xdr:to>
    <xdr:pic>
      <xdr:nvPicPr>
        <xdr:cNvPr id="4102" name="Picture 6" descr="C:\Documents and Settings\Groene Zaken\Mijn documenten\Mijn afbeeldingen\GZ 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76850" y="619125"/>
          <a:ext cx="2324100"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85725</xdr:colOff>
      <xdr:row>1</xdr:row>
      <xdr:rowOff>38100</xdr:rowOff>
    </xdr:from>
    <xdr:to>
      <xdr:col>12</xdr:col>
      <xdr:colOff>800100</xdr:colOff>
      <xdr:row>5</xdr:row>
      <xdr:rowOff>57150</xdr:rowOff>
    </xdr:to>
    <xdr:pic>
      <xdr:nvPicPr>
        <xdr:cNvPr id="17414" name="Picture 6" descr="C:\Documents and Settings\Groene Zaken\Mijn documenten\Mijn afbeeldingen\GZ 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15250" y="238125"/>
          <a:ext cx="2409825"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6</xdr:col>
          <xdr:colOff>0</xdr:colOff>
          <xdr:row>14</xdr:row>
          <xdr:rowOff>9525</xdr:rowOff>
        </xdr:to>
        <xdr:sp macro="" textlink="">
          <xdr:nvSpPr>
            <xdr:cNvPr id="14353" name="Drop Down 17" hidden="1">
              <a:extLst>
                <a:ext uri="{63B3BB69-23CF-44E3-9099-C40C66FF867C}">
                  <a14:compatExt spid="_x0000_s14353"/>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xdr:twoCellAnchor editAs="oneCell">
    <xdr:from>
      <xdr:col>10</xdr:col>
      <xdr:colOff>628650</xdr:colOff>
      <xdr:row>3</xdr:row>
      <xdr:rowOff>114300</xdr:rowOff>
    </xdr:from>
    <xdr:to>
      <xdr:col>15</xdr:col>
      <xdr:colOff>104775</xdr:colOff>
      <xdr:row>7</xdr:row>
      <xdr:rowOff>38100</xdr:rowOff>
    </xdr:to>
    <xdr:pic>
      <xdr:nvPicPr>
        <xdr:cNvPr id="14366" name="Picture 30" descr="C:\Documents and Settings\Groene Zaken\Mijn documenten\Mijn afbeeldingen\GZ 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8750" y="609600"/>
          <a:ext cx="2381250"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190500</xdr:colOff>
      <xdr:row>0</xdr:row>
      <xdr:rowOff>0</xdr:rowOff>
    </xdr:from>
    <xdr:to>
      <xdr:col>14</xdr:col>
      <xdr:colOff>180975</xdr:colOff>
      <xdr:row>0</xdr:row>
      <xdr:rowOff>0</xdr:rowOff>
    </xdr:to>
    <xdr:pic>
      <xdr:nvPicPr>
        <xdr:cNvPr id="19464" name="Picture 8" descr="full colour versie"/>
        <xdr:cNvPicPr>
          <a:picLocks noChangeAspect="1" noChangeArrowheads="1"/>
        </xdr:cNvPicPr>
      </xdr:nvPicPr>
      <xdr:blipFill>
        <a:blip xmlns:r="http://schemas.openxmlformats.org/officeDocument/2006/relationships" r:embed="rId1">
          <a:clrChange>
            <a:clrFrom>
              <a:srgbClr val="FDFDFD"/>
            </a:clrFrom>
            <a:clrTo>
              <a:srgbClr val="FDFDFD">
                <a:alpha val="0"/>
              </a:srgbClr>
            </a:clrTo>
          </a:clrChange>
          <a:extLst>
            <a:ext uri="{28A0092B-C50C-407E-A947-70E740481C1C}">
              <a14:useLocalDpi xmlns:a14="http://schemas.microsoft.com/office/drawing/2010/main" val="0"/>
            </a:ext>
          </a:extLst>
        </a:blip>
        <a:srcRect r="33995"/>
        <a:stretch>
          <a:fillRect/>
        </a:stretch>
      </xdr:blipFill>
      <xdr:spPr bwMode="auto">
        <a:xfrm>
          <a:off x="7353300" y="0"/>
          <a:ext cx="120967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180975</xdr:colOff>
      <xdr:row>0</xdr:row>
      <xdr:rowOff>0</xdr:rowOff>
    </xdr:from>
    <xdr:to>
      <xdr:col>15</xdr:col>
      <xdr:colOff>0</xdr:colOff>
      <xdr:row>0</xdr:row>
      <xdr:rowOff>0</xdr:rowOff>
    </xdr:to>
    <xdr:pic>
      <xdr:nvPicPr>
        <xdr:cNvPr id="19465" name="Picture 9" descr="beeldschermversie"/>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562975" y="0"/>
          <a:ext cx="4286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438150</xdr:colOff>
      <xdr:row>4</xdr:row>
      <xdr:rowOff>28575</xdr:rowOff>
    </xdr:from>
    <xdr:to>
      <xdr:col>11</xdr:col>
      <xdr:colOff>523875</xdr:colOff>
      <xdr:row>7</xdr:row>
      <xdr:rowOff>38100</xdr:rowOff>
    </xdr:to>
    <xdr:pic>
      <xdr:nvPicPr>
        <xdr:cNvPr id="19475" name="Picture 19" descr="C:\Documents and Settings\Groene Zaken\Mijn documenten\Mijn afbeeldingen\GZ logo.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29200" y="714375"/>
          <a:ext cx="2047875"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171450</xdr:colOff>
      <xdr:row>3</xdr:row>
      <xdr:rowOff>123825</xdr:rowOff>
    </xdr:from>
    <xdr:to>
      <xdr:col>15</xdr:col>
      <xdr:colOff>85725</xdr:colOff>
      <xdr:row>7</xdr:row>
      <xdr:rowOff>47625</xdr:rowOff>
    </xdr:to>
    <xdr:pic>
      <xdr:nvPicPr>
        <xdr:cNvPr id="18438" name="Picture 6" descr="C:\Documents and Settings\Groene Zaken\Mijn documenten\Mijn afbeeldingen\GZ 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76850" y="619125"/>
          <a:ext cx="2390775"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171450</xdr:colOff>
      <xdr:row>3</xdr:row>
      <xdr:rowOff>114300</xdr:rowOff>
    </xdr:from>
    <xdr:to>
      <xdr:col>15</xdr:col>
      <xdr:colOff>104775</xdr:colOff>
      <xdr:row>7</xdr:row>
      <xdr:rowOff>47625</xdr:rowOff>
    </xdr:to>
    <xdr:pic>
      <xdr:nvPicPr>
        <xdr:cNvPr id="7203" name="Picture 35" descr="C:\Documents and Settings\Groene Zaken\Mijn documenten\Mijn afbeeldingen\GZ 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76850" y="609600"/>
          <a:ext cx="2409825"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142875</xdr:colOff>
      <xdr:row>3</xdr:row>
      <xdr:rowOff>114300</xdr:rowOff>
    </xdr:from>
    <xdr:to>
      <xdr:col>15</xdr:col>
      <xdr:colOff>76200</xdr:colOff>
      <xdr:row>7</xdr:row>
      <xdr:rowOff>47625</xdr:rowOff>
    </xdr:to>
    <xdr:pic>
      <xdr:nvPicPr>
        <xdr:cNvPr id="8213" name="Picture 21" descr="C:\Documents and Settings\Groene Zaken\Mijn documenten\Mijn afbeeldingen\GZ 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8275" y="609600"/>
          <a:ext cx="2409825"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161925</xdr:colOff>
      <xdr:row>3</xdr:row>
      <xdr:rowOff>104775</xdr:rowOff>
    </xdr:from>
    <xdr:to>
      <xdr:col>15</xdr:col>
      <xdr:colOff>85725</xdr:colOff>
      <xdr:row>7</xdr:row>
      <xdr:rowOff>38100</xdr:rowOff>
    </xdr:to>
    <xdr:pic>
      <xdr:nvPicPr>
        <xdr:cNvPr id="10245" name="Picture 5" descr="C:\Documents and Settings\Groene Zaken\Mijn documenten\Mijn afbeeldingen\GZ 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67325" y="600075"/>
          <a:ext cx="240030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133350</xdr:colOff>
      <xdr:row>3</xdr:row>
      <xdr:rowOff>95250</xdr:rowOff>
    </xdr:from>
    <xdr:to>
      <xdr:col>15</xdr:col>
      <xdr:colOff>66675</xdr:colOff>
      <xdr:row>7</xdr:row>
      <xdr:rowOff>28575</xdr:rowOff>
    </xdr:to>
    <xdr:pic>
      <xdr:nvPicPr>
        <xdr:cNvPr id="11271" name="Picture 7" descr="C:\Documents and Settings\Groene Zaken\Mijn documenten\Mijn afbeeldingen\GZ 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8750" y="590550"/>
          <a:ext cx="2409825"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xdr:col>
      <xdr:colOff>142875</xdr:colOff>
      <xdr:row>3</xdr:row>
      <xdr:rowOff>76200</xdr:rowOff>
    </xdr:from>
    <xdr:to>
      <xdr:col>15</xdr:col>
      <xdr:colOff>76200</xdr:colOff>
      <xdr:row>7</xdr:row>
      <xdr:rowOff>19050</xdr:rowOff>
    </xdr:to>
    <xdr:pic>
      <xdr:nvPicPr>
        <xdr:cNvPr id="12299" name="Picture 11" descr="C:\Documents and Settings\Groene Zaken\Mijn documenten\Mijn afbeeldingen\GZ 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8275" y="571500"/>
          <a:ext cx="2409825"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ctrlProp" Target="../ctrlProps/ctrlProp1.xml"/><Relationship Id="rId4"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
  <dimension ref="B1:Q64"/>
  <sheetViews>
    <sheetView showGridLines="0" tabSelected="1" topLeftCell="A4" zoomScaleNormal="85" zoomScaleSheetLayoutView="115" workbookViewId="0">
      <selection activeCell="E16" sqref="E16:N16"/>
    </sheetView>
  </sheetViews>
  <sheetFormatPr defaultRowHeight="15" x14ac:dyDescent="0.25"/>
  <cols>
    <col min="1" max="1" width="2.7109375" style="131" customWidth="1"/>
    <col min="2" max="2" width="1.7109375" style="131" customWidth="1"/>
    <col min="3" max="5" width="8.7109375" style="131" customWidth="1"/>
    <col min="6" max="6" width="5.7109375" style="131" customWidth="1"/>
    <col min="7" max="7" width="10.7109375" style="131" customWidth="1"/>
    <col min="8" max="8" width="5.7109375" style="131" customWidth="1"/>
    <col min="9" max="9" width="10.7109375" style="131" customWidth="1"/>
    <col min="10" max="10" width="5.7109375" style="131" customWidth="1"/>
    <col min="11" max="11" width="10.7109375" style="131" customWidth="1"/>
    <col min="12" max="12" width="5.7109375" style="131" customWidth="1"/>
    <col min="13" max="13" width="10.7109375" style="131" customWidth="1"/>
    <col min="14" max="14" width="5.7109375" style="131" customWidth="1"/>
    <col min="15" max="15" width="10.7109375" style="131" customWidth="1"/>
    <col min="16" max="16" width="1.7109375" style="131" customWidth="1"/>
    <col min="17" max="16384" width="9.140625" style="131"/>
  </cols>
  <sheetData>
    <row r="1" spans="2:17" ht="15.75" thickBot="1" x14ac:dyDescent="0.3"/>
    <row r="2" spans="2:17" ht="5.0999999999999996" customHeight="1" x14ac:dyDescent="0.25">
      <c r="B2" s="132"/>
      <c r="C2" s="133"/>
      <c r="D2" s="133"/>
      <c r="E2" s="133"/>
      <c r="F2" s="133"/>
      <c r="G2" s="133"/>
      <c r="H2" s="133"/>
      <c r="I2" s="133"/>
      <c r="J2" s="133"/>
      <c r="K2" s="133"/>
      <c r="L2" s="133"/>
      <c r="M2" s="133"/>
      <c r="N2" s="133"/>
      <c r="O2" s="133"/>
      <c r="P2" s="134"/>
    </row>
    <row r="3" spans="2:17" ht="18.75" x14ac:dyDescent="0.3">
      <c r="B3" s="135"/>
      <c r="C3" s="136" t="s">
        <v>28</v>
      </c>
      <c r="D3" s="137"/>
      <c r="E3" s="137"/>
      <c r="F3" s="137"/>
      <c r="G3" s="137"/>
      <c r="H3" s="137"/>
      <c r="I3" s="137"/>
      <c r="J3" s="137"/>
      <c r="K3" s="137"/>
      <c r="L3" s="137"/>
      <c r="M3" s="137"/>
      <c r="N3" s="137"/>
      <c r="O3" s="137"/>
      <c r="P3" s="138"/>
    </row>
    <row r="4" spans="2:17" x14ac:dyDescent="0.25">
      <c r="B4" s="135"/>
      <c r="C4" s="139" t="s">
        <v>502</v>
      </c>
      <c r="D4" s="137"/>
      <c r="E4" s="137"/>
      <c r="F4" s="137"/>
      <c r="G4" s="137"/>
      <c r="H4" s="137"/>
      <c r="I4" s="137"/>
      <c r="J4" s="137"/>
      <c r="K4" s="137"/>
      <c r="L4" s="137"/>
      <c r="M4" s="137"/>
      <c r="N4" s="137"/>
      <c r="O4" s="137"/>
      <c r="P4" s="138"/>
    </row>
    <row r="5" spans="2:17" ht="18.75" x14ac:dyDescent="0.3">
      <c r="B5" s="135"/>
      <c r="C5" s="136"/>
      <c r="D5" s="137"/>
      <c r="E5" s="137"/>
      <c r="F5" s="137"/>
      <c r="G5" s="137"/>
      <c r="H5" s="137"/>
      <c r="I5" s="137"/>
      <c r="J5" s="137"/>
      <c r="K5" s="137"/>
      <c r="L5" s="137"/>
      <c r="M5" s="137"/>
      <c r="N5" s="137"/>
      <c r="O5" s="137"/>
      <c r="P5" s="138"/>
    </row>
    <row r="6" spans="2:17" x14ac:dyDescent="0.25">
      <c r="B6" s="135"/>
      <c r="C6" s="148" t="s">
        <v>372</v>
      </c>
      <c r="D6" s="239"/>
      <c r="E6" s="423">
        <v>43186</v>
      </c>
      <c r="F6" s="424"/>
      <c r="G6" s="425"/>
      <c r="H6" s="137"/>
      <c r="I6" s="137"/>
      <c r="J6" s="137"/>
      <c r="K6" s="137"/>
      <c r="L6" s="137"/>
      <c r="M6" s="137"/>
      <c r="N6" s="137"/>
      <c r="O6" s="137"/>
      <c r="P6" s="138"/>
    </row>
    <row r="7" spans="2:17" x14ac:dyDescent="0.25">
      <c r="B7" s="135"/>
      <c r="C7" s="148" t="s">
        <v>373</v>
      </c>
      <c r="D7" s="137"/>
      <c r="E7" s="426"/>
      <c r="F7" s="427"/>
      <c r="G7" s="428"/>
      <c r="H7" s="137"/>
      <c r="I7" s="137"/>
      <c r="J7" s="137"/>
      <c r="K7" s="137"/>
      <c r="L7" s="137"/>
      <c r="M7" s="137"/>
      <c r="N7" s="137"/>
      <c r="O7" s="137"/>
      <c r="P7" s="138"/>
    </row>
    <row r="8" spans="2:17" x14ac:dyDescent="0.25">
      <c r="B8" s="135"/>
      <c r="C8" s="148" t="s">
        <v>489</v>
      </c>
      <c r="D8" s="137"/>
      <c r="E8" s="426" t="s">
        <v>501</v>
      </c>
      <c r="F8" s="427"/>
      <c r="G8" s="428"/>
      <c r="H8" s="137"/>
      <c r="I8" s="137"/>
      <c r="J8" s="137"/>
      <c r="K8" s="137"/>
      <c r="L8" s="137"/>
      <c r="M8" s="137"/>
      <c r="N8" s="137"/>
      <c r="O8" s="137"/>
      <c r="P8" s="138"/>
    </row>
    <row r="9" spans="2:17" ht="5.0999999999999996" customHeight="1" thickBot="1" x14ac:dyDescent="0.3">
      <c r="B9" s="140"/>
      <c r="C9" s="141"/>
      <c r="D9" s="142"/>
      <c r="E9" s="142"/>
      <c r="F9" s="142"/>
      <c r="G9" s="142"/>
      <c r="H9" s="142"/>
      <c r="I9" s="142"/>
      <c r="J9" s="142"/>
      <c r="K9" s="142"/>
      <c r="L9" s="142"/>
      <c r="M9" s="142"/>
      <c r="N9" s="142"/>
      <c r="O9" s="142"/>
      <c r="P9" s="143"/>
    </row>
    <row r="10" spans="2:17" ht="30" customHeight="1" thickBot="1" x14ac:dyDescent="0.3">
      <c r="B10" s="132"/>
      <c r="C10" s="144"/>
      <c r="D10" s="133"/>
      <c r="E10" s="133"/>
      <c r="F10" s="133"/>
      <c r="G10" s="133"/>
      <c r="H10" s="133"/>
      <c r="I10" s="133"/>
      <c r="J10" s="133"/>
      <c r="K10" s="133"/>
      <c r="L10" s="133"/>
      <c r="M10" s="133"/>
      <c r="N10" s="133"/>
      <c r="O10" s="133"/>
      <c r="P10" s="134"/>
    </row>
    <row r="11" spans="2:17" ht="5.0999999999999996" customHeight="1" x14ac:dyDescent="0.25">
      <c r="B11" s="132"/>
      <c r="C11" s="144"/>
      <c r="D11" s="133"/>
      <c r="E11" s="133"/>
      <c r="F11" s="133"/>
      <c r="G11" s="133"/>
      <c r="H11" s="133"/>
      <c r="I11" s="133"/>
      <c r="J11" s="133"/>
      <c r="K11" s="133"/>
      <c r="L11" s="133"/>
      <c r="M11" s="133"/>
      <c r="N11" s="133"/>
      <c r="O11" s="133"/>
      <c r="P11" s="134"/>
    </row>
    <row r="12" spans="2:17" x14ac:dyDescent="0.25">
      <c r="B12" s="135"/>
      <c r="C12" s="145" t="s">
        <v>0</v>
      </c>
      <c r="D12" s="137"/>
      <c r="E12" s="137"/>
      <c r="F12" s="137"/>
      <c r="G12" s="137"/>
      <c r="H12" s="137"/>
      <c r="I12" s="137"/>
      <c r="J12" s="137"/>
      <c r="K12" s="137"/>
      <c r="L12" s="137"/>
      <c r="M12" s="137"/>
      <c r="N12" s="137"/>
      <c r="O12" s="137"/>
      <c r="P12" s="138"/>
      <c r="Q12" s="146"/>
    </row>
    <row r="13" spans="2:17" ht="15.75" thickBot="1" x14ac:dyDescent="0.3">
      <c r="B13" s="140"/>
      <c r="C13" s="147"/>
      <c r="D13" s="142"/>
      <c r="E13" s="142"/>
      <c r="F13" s="142"/>
      <c r="G13" s="142"/>
      <c r="H13" s="142"/>
      <c r="I13" s="142"/>
      <c r="J13" s="142"/>
      <c r="K13" s="142"/>
      <c r="L13" s="142"/>
      <c r="M13" s="142"/>
      <c r="N13" s="142"/>
      <c r="O13" s="142"/>
      <c r="P13" s="143"/>
      <c r="Q13" s="146"/>
    </row>
    <row r="14" spans="2:17" ht="5.0999999999999996" customHeight="1" x14ac:dyDescent="0.25">
      <c r="B14" s="135"/>
      <c r="C14" s="145"/>
      <c r="D14" s="137"/>
      <c r="E14" s="137"/>
      <c r="F14" s="137"/>
      <c r="G14" s="137"/>
      <c r="H14" s="137"/>
      <c r="I14" s="137"/>
      <c r="J14" s="137"/>
      <c r="K14" s="137"/>
      <c r="L14" s="137"/>
      <c r="M14" s="137"/>
      <c r="N14" s="137"/>
      <c r="O14" s="137"/>
      <c r="P14" s="138"/>
      <c r="Q14" s="146"/>
    </row>
    <row r="15" spans="2:17" x14ac:dyDescent="0.25">
      <c r="B15" s="135"/>
      <c r="C15" s="406" t="s">
        <v>488</v>
      </c>
      <c r="D15" s="407"/>
      <c r="E15" s="400"/>
      <c r="F15" s="400"/>
      <c r="G15" s="400"/>
      <c r="H15" s="400"/>
      <c r="I15" s="400"/>
      <c r="J15" s="400"/>
      <c r="K15" s="400"/>
      <c r="L15" s="400"/>
      <c r="M15" s="400"/>
      <c r="N15" s="400"/>
      <c r="O15" s="137"/>
      <c r="P15" s="138"/>
      <c r="Q15" s="146"/>
    </row>
    <row r="16" spans="2:17" x14ac:dyDescent="0.25">
      <c r="B16" s="135"/>
      <c r="C16" s="406" t="s">
        <v>2</v>
      </c>
      <c r="D16" s="407"/>
      <c r="E16" s="400"/>
      <c r="F16" s="400"/>
      <c r="G16" s="400"/>
      <c r="H16" s="400"/>
      <c r="I16" s="400"/>
      <c r="J16" s="400"/>
      <c r="K16" s="400"/>
      <c r="L16" s="400"/>
      <c r="M16" s="400"/>
      <c r="N16" s="400"/>
      <c r="O16" s="137"/>
      <c r="P16" s="138"/>
      <c r="Q16" s="146"/>
    </row>
    <row r="17" spans="2:17" x14ac:dyDescent="0.25">
      <c r="B17" s="135"/>
      <c r="C17" s="406" t="s">
        <v>3</v>
      </c>
      <c r="D17" s="407"/>
      <c r="E17" s="400"/>
      <c r="F17" s="400"/>
      <c r="G17" s="400"/>
      <c r="H17" s="400"/>
      <c r="I17" s="400"/>
      <c r="J17" s="400"/>
      <c r="K17" s="400"/>
      <c r="L17" s="400"/>
      <c r="M17" s="400"/>
      <c r="N17" s="400"/>
      <c r="O17" s="137"/>
      <c r="P17" s="138"/>
      <c r="Q17" s="146"/>
    </row>
    <row r="18" spans="2:17" x14ac:dyDescent="0.25">
      <c r="B18" s="135"/>
      <c r="C18" s="149"/>
      <c r="D18" s="149"/>
      <c r="E18" s="416"/>
      <c r="F18" s="417"/>
      <c r="G18" s="137"/>
      <c r="H18" s="137"/>
      <c r="I18" s="137"/>
      <c r="J18" s="137"/>
      <c r="K18" s="137"/>
      <c r="L18" s="137"/>
      <c r="M18" s="137"/>
      <c r="N18" s="137"/>
      <c r="O18" s="137"/>
      <c r="P18" s="138"/>
      <c r="Q18" s="146"/>
    </row>
    <row r="19" spans="2:17" x14ac:dyDescent="0.25">
      <c r="B19" s="135"/>
      <c r="C19" s="399" t="s">
        <v>4</v>
      </c>
      <c r="D19" s="399"/>
      <c r="E19" s="409">
        <f>+K48</f>
        <v>0</v>
      </c>
      <c r="F19" s="410"/>
      <c r="G19" s="229" t="s">
        <v>485</v>
      </c>
      <c r="H19" s="150"/>
      <c r="I19" s="150"/>
      <c r="J19" s="150"/>
      <c r="K19" s="137"/>
      <c r="L19" s="137"/>
      <c r="M19" s="137"/>
      <c r="N19" s="137"/>
      <c r="O19" s="137"/>
      <c r="P19" s="138"/>
      <c r="Q19" s="146"/>
    </row>
    <row r="20" spans="2:17" x14ac:dyDescent="0.25">
      <c r="B20" s="135"/>
      <c r="C20" s="399" t="s">
        <v>5</v>
      </c>
      <c r="D20" s="399"/>
      <c r="E20" s="414">
        <v>0.1</v>
      </c>
      <c r="F20" s="415"/>
      <c r="G20" s="305" t="s">
        <v>484</v>
      </c>
      <c r="H20" s="137"/>
      <c r="I20" s="137"/>
      <c r="J20" s="137"/>
      <c r="K20" s="137"/>
      <c r="L20" s="137"/>
      <c r="M20" s="137"/>
      <c r="N20" s="137"/>
      <c r="O20" s="137"/>
      <c r="P20" s="138"/>
      <c r="Q20" s="146"/>
    </row>
    <row r="21" spans="2:17" x14ac:dyDescent="0.25">
      <c r="B21" s="135"/>
      <c r="C21" s="399" t="s">
        <v>14</v>
      </c>
      <c r="D21" s="399"/>
      <c r="E21" s="404">
        <v>42736</v>
      </c>
      <c r="F21" s="405"/>
      <c r="G21" s="137"/>
      <c r="H21" s="137"/>
      <c r="I21" s="137"/>
      <c r="J21" s="137"/>
      <c r="K21" s="137"/>
      <c r="L21" s="137"/>
      <c r="M21" s="137"/>
      <c r="N21" s="137"/>
      <c r="O21" s="137"/>
      <c r="P21" s="138"/>
      <c r="Q21" s="146"/>
    </row>
    <row r="22" spans="2:17" ht="5.0999999999999996" customHeight="1" thickBot="1" x14ac:dyDescent="0.3">
      <c r="B22" s="140"/>
      <c r="C22" s="142"/>
      <c r="D22" s="142"/>
      <c r="E22" s="151"/>
      <c r="F22" s="142"/>
      <c r="G22" s="142"/>
      <c r="H22" s="142"/>
      <c r="I22" s="142"/>
      <c r="J22" s="142"/>
      <c r="K22" s="142"/>
      <c r="L22" s="142"/>
      <c r="M22" s="142"/>
      <c r="N22" s="142"/>
      <c r="O22" s="142"/>
      <c r="P22" s="143"/>
    </row>
    <row r="23" spans="2:17" ht="30" customHeight="1" thickBot="1" x14ac:dyDescent="0.3">
      <c r="B23" s="135"/>
      <c r="C23" s="137"/>
      <c r="D23" s="137"/>
      <c r="E23" s="137"/>
      <c r="F23" s="137"/>
      <c r="G23" s="137"/>
      <c r="H23" s="137"/>
      <c r="I23" s="137"/>
      <c r="J23" s="137"/>
      <c r="K23" s="137"/>
      <c r="L23" s="137"/>
      <c r="M23" s="137"/>
      <c r="N23" s="137"/>
      <c r="O23" s="137"/>
      <c r="P23" s="237"/>
    </row>
    <row r="24" spans="2:17" ht="5.0999999999999996" customHeight="1" x14ac:dyDescent="0.25">
      <c r="B24" s="132"/>
      <c r="C24" s="133"/>
      <c r="D24" s="133"/>
      <c r="E24" s="133"/>
      <c r="F24" s="133"/>
      <c r="G24" s="133"/>
      <c r="H24" s="133"/>
      <c r="I24" s="133"/>
      <c r="J24" s="133"/>
      <c r="K24" s="133"/>
      <c r="L24" s="133"/>
      <c r="M24" s="133"/>
      <c r="N24" s="133"/>
      <c r="O24" s="133"/>
      <c r="P24" s="134"/>
    </row>
    <row r="25" spans="2:17" x14ac:dyDescent="0.25">
      <c r="B25" s="135"/>
      <c r="C25" s="145" t="s">
        <v>13</v>
      </c>
      <c r="D25" s="137"/>
      <c r="E25" s="137"/>
      <c r="F25" s="137"/>
      <c r="G25" s="137"/>
      <c r="H25" s="137"/>
      <c r="I25" s="137"/>
      <c r="J25" s="137"/>
      <c r="K25" s="137"/>
      <c r="L25" s="137"/>
      <c r="M25" s="137"/>
      <c r="N25" s="137"/>
      <c r="O25" s="137"/>
      <c r="P25" s="138"/>
    </row>
    <row r="26" spans="2:17" ht="15.75" thickBot="1" x14ac:dyDescent="0.3">
      <c r="B26" s="140"/>
      <c r="C26" s="147"/>
      <c r="D26" s="142"/>
      <c r="E26" s="142"/>
      <c r="F26" s="142"/>
      <c r="G26" s="142"/>
      <c r="H26" s="142"/>
      <c r="I26" s="142"/>
      <c r="J26" s="142"/>
      <c r="K26" s="142"/>
      <c r="L26" s="142"/>
      <c r="M26" s="142"/>
      <c r="N26" s="142"/>
      <c r="O26" s="142"/>
      <c r="P26" s="143"/>
    </row>
    <row r="27" spans="2:17" ht="5.0999999999999996" customHeight="1" x14ac:dyDescent="0.25">
      <c r="B27" s="135"/>
      <c r="C27" s="145"/>
      <c r="D27" s="137"/>
      <c r="E27" s="137"/>
      <c r="F27" s="137"/>
      <c r="G27" s="137"/>
      <c r="H27" s="137"/>
      <c r="I27" s="137"/>
      <c r="J27" s="137"/>
      <c r="K27" s="137"/>
      <c r="L27" s="137"/>
      <c r="M27" s="137"/>
      <c r="N27" s="137"/>
      <c r="O27" s="137"/>
      <c r="P27" s="138"/>
    </row>
    <row r="28" spans="2:17" x14ac:dyDescent="0.25">
      <c r="B28" s="135"/>
      <c r="C28" s="152" t="s">
        <v>24</v>
      </c>
      <c r="D28" s="153"/>
      <c r="E28" s="153"/>
      <c r="F28" s="153"/>
      <c r="G28" s="153"/>
      <c r="H28" s="153"/>
      <c r="I28" s="153" t="s">
        <v>20</v>
      </c>
      <c r="J28" s="153"/>
      <c r="K28" s="153" t="s">
        <v>21</v>
      </c>
      <c r="L28" s="153"/>
      <c r="M28" s="137"/>
      <c r="N28" s="137"/>
      <c r="O28" s="137"/>
      <c r="P28" s="138"/>
    </row>
    <row r="29" spans="2:17" x14ac:dyDescent="0.25">
      <c r="B29" s="135"/>
      <c r="C29" s="137" t="s">
        <v>9</v>
      </c>
      <c r="D29" s="137"/>
      <c r="E29" s="154"/>
      <c r="F29" s="240"/>
      <c r="G29" s="154"/>
      <c r="H29" s="128">
        <v>0.02</v>
      </c>
      <c r="I29" s="155"/>
      <c r="J29" s="137"/>
      <c r="K29" s="411">
        <f>CEILING(K41*H29,500)</f>
        <v>0</v>
      </c>
      <c r="L29" s="411"/>
      <c r="M29" s="306" t="s">
        <v>486</v>
      </c>
      <c r="N29" s="137"/>
      <c r="O29" s="137"/>
      <c r="P29" s="138"/>
    </row>
    <row r="30" spans="2:17" x14ac:dyDescent="0.25">
      <c r="B30" s="135"/>
      <c r="C30" s="137" t="s">
        <v>10</v>
      </c>
      <c r="D30" s="137"/>
      <c r="E30" s="157"/>
      <c r="F30" s="137"/>
      <c r="G30" s="157"/>
      <c r="H30" s="128">
        <v>7.0000000000000007E-2</v>
      </c>
      <c r="I30" s="155"/>
      <c r="J30" s="137"/>
      <c r="K30" s="411">
        <f>CEILING(K41*H30,500)</f>
        <v>0</v>
      </c>
      <c r="L30" s="411"/>
      <c r="M30" s="306" t="s">
        <v>486</v>
      </c>
      <c r="N30" s="137"/>
      <c r="O30" s="137"/>
      <c r="P30" s="138"/>
    </row>
    <row r="31" spans="2:17" x14ac:dyDescent="0.25">
      <c r="B31" s="135"/>
      <c r="C31" s="137" t="s">
        <v>466</v>
      </c>
      <c r="D31" s="137"/>
      <c r="E31" s="158"/>
      <c r="F31" s="159"/>
      <c r="G31" s="159"/>
      <c r="H31" s="159"/>
      <c r="I31" s="155"/>
      <c r="J31" s="137"/>
      <c r="K31" s="137"/>
      <c r="L31" s="137"/>
      <c r="M31" s="137"/>
      <c r="N31" s="137"/>
      <c r="O31" s="137"/>
      <c r="P31" s="138"/>
    </row>
    <row r="32" spans="2:17" x14ac:dyDescent="0.25">
      <c r="B32" s="135"/>
      <c r="C32" s="160" t="s">
        <v>468</v>
      </c>
      <c r="D32" s="137"/>
      <c r="E32" s="158"/>
      <c r="F32" s="159"/>
      <c r="G32" s="159"/>
      <c r="H32" s="159"/>
      <c r="I32" s="156">
        <f>CEILING(Input!J98,500)</f>
        <v>0</v>
      </c>
      <c r="J32" s="137"/>
      <c r="K32" s="155"/>
      <c r="L32" s="137"/>
      <c r="M32" s="137"/>
      <c r="N32" s="137"/>
      <c r="O32" s="137"/>
      <c r="P32" s="138"/>
    </row>
    <row r="33" spans="2:16" x14ac:dyDescent="0.25">
      <c r="B33" s="135"/>
      <c r="C33" s="127" t="s">
        <v>16</v>
      </c>
      <c r="D33" s="137"/>
      <c r="E33" s="158"/>
      <c r="F33" s="159"/>
      <c r="G33" s="159"/>
      <c r="H33" s="159"/>
      <c r="I33" s="156">
        <f>CEILING(Input!J99,500)</f>
        <v>0</v>
      </c>
      <c r="J33" s="137"/>
      <c r="K33" s="155"/>
      <c r="L33" s="137"/>
      <c r="M33" s="137"/>
      <c r="N33" s="137"/>
      <c r="O33" s="137"/>
      <c r="P33" s="138"/>
    </row>
    <row r="34" spans="2:16" x14ac:dyDescent="0.25">
      <c r="B34" s="135"/>
      <c r="C34" s="127" t="s">
        <v>7</v>
      </c>
      <c r="D34" s="137"/>
      <c r="E34" s="158"/>
      <c r="F34" s="159"/>
      <c r="G34" s="159"/>
      <c r="H34" s="159"/>
      <c r="I34" s="156">
        <f>CEILING(Input!J100,500)</f>
        <v>0</v>
      </c>
      <c r="J34" s="137"/>
      <c r="K34" s="155"/>
      <c r="L34" s="137"/>
      <c r="M34" s="137"/>
      <c r="N34" s="137"/>
      <c r="O34" s="137"/>
      <c r="P34" s="138"/>
    </row>
    <row r="35" spans="2:16" x14ac:dyDescent="0.25">
      <c r="B35" s="135"/>
      <c r="C35" s="127" t="s">
        <v>276</v>
      </c>
      <c r="D35" s="137"/>
      <c r="E35" s="158"/>
      <c r="F35" s="159"/>
      <c r="G35" s="159"/>
      <c r="H35" s="159"/>
      <c r="I35" s="156">
        <f>CEILING(Input!J101,500)</f>
        <v>0</v>
      </c>
      <c r="J35" s="137"/>
      <c r="K35" s="155"/>
      <c r="L35" s="137"/>
      <c r="M35" s="137"/>
      <c r="N35" s="137"/>
      <c r="O35" s="137"/>
      <c r="P35" s="138"/>
    </row>
    <row r="36" spans="2:16" x14ac:dyDescent="0.25">
      <c r="B36" s="135"/>
      <c r="C36" s="127" t="s">
        <v>15</v>
      </c>
      <c r="D36" s="137"/>
      <c r="E36" s="158"/>
      <c r="F36" s="159"/>
      <c r="G36" s="159"/>
      <c r="H36" s="159"/>
      <c r="I36" s="156">
        <f>CEILING(Input!J102,500)</f>
        <v>0</v>
      </c>
      <c r="J36" s="137"/>
      <c r="K36" s="155"/>
      <c r="L36" s="137"/>
      <c r="M36" s="137"/>
      <c r="N36" s="137"/>
      <c r="O36" s="137"/>
      <c r="P36" s="138"/>
    </row>
    <row r="37" spans="2:16" x14ac:dyDescent="0.25">
      <c r="B37" s="135"/>
      <c r="C37" s="127" t="s">
        <v>17</v>
      </c>
      <c r="D37" s="137"/>
      <c r="E37" s="158"/>
      <c r="F37" s="159"/>
      <c r="G37" s="159"/>
      <c r="H37" s="159"/>
      <c r="I37" s="156">
        <f>CEILING(Input!J103,500)</f>
        <v>0</v>
      </c>
      <c r="J37" s="137"/>
      <c r="K37" s="155"/>
      <c r="L37" s="137"/>
      <c r="M37" s="137"/>
      <c r="N37" s="137"/>
      <c r="O37" s="137"/>
      <c r="P37" s="138"/>
    </row>
    <row r="38" spans="2:16" x14ac:dyDescent="0.25">
      <c r="B38" s="135"/>
      <c r="C38" s="127" t="s">
        <v>383</v>
      </c>
      <c r="D38" s="137"/>
      <c r="E38" s="158"/>
      <c r="F38" s="159"/>
      <c r="G38" s="159"/>
      <c r="H38" s="159"/>
      <c r="I38" s="156">
        <f>CEILING(Input!J104,500)</f>
        <v>0</v>
      </c>
      <c r="J38" s="137"/>
      <c r="K38" s="155"/>
      <c r="L38" s="137"/>
      <c r="M38" s="137"/>
      <c r="N38" s="137"/>
      <c r="O38" s="137"/>
      <c r="P38" s="138"/>
    </row>
    <row r="39" spans="2:16" x14ac:dyDescent="0.25">
      <c r="B39" s="135"/>
      <c r="C39" s="127" t="s">
        <v>18</v>
      </c>
      <c r="D39" s="137"/>
      <c r="E39" s="158"/>
      <c r="F39" s="159"/>
      <c r="G39" s="159"/>
      <c r="H39" s="159"/>
      <c r="I39" s="156">
        <f>CEILING(Input!J105,500)</f>
        <v>0</v>
      </c>
      <c r="J39" s="137"/>
      <c r="K39" s="155"/>
      <c r="L39" s="137"/>
      <c r="M39" s="137"/>
      <c r="N39" s="137"/>
      <c r="O39" s="137"/>
      <c r="P39" s="138"/>
    </row>
    <row r="40" spans="2:16" x14ac:dyDescent="0.25">
      <c r="B40" s="135"/>
      <c r="C40" s="127" t="s">
        <v>467</v>
      </c>
      <c r="D40" s="137"/>
      <c r="E40" s="158"/>
      <c r="F40" s="159"/>
      <c r="G40" s="158"/>
      <c r="H40" s="128">
        <v>0.05</v>
      </c>
      <c r="I40" s="156">
        <f>CEILING(H40*(I32+I33+I34+I35+I36+I37+I38+I39),500)</f>
        <v>0</v>
      </c>
      <c r="J40" s="137"/>
      <c r="K40" s="155"/>
      <c r="L40" s="137"/>
      <c r="M40" s="306" t="s">
        <v>486</v>
      </c>
      <c r="N40" s="137"/>
      <c r="O40" s="137"/>
      <c r="P40" s="138"/>
    </row>
    <row r="41" spans="2:16" x14ac:dyDescent="0.25">
      <c r="B41" s="135"/>
      <c r="C41" s="149" t="s">
        <v>370</v>
      </c>
      <c r="D41" s="137"/>
      <c r="E41" s="158"/>
      <c r="F41" s="159"/>
      <c r="G41" s="159"/>
      <c r="H41" s="324"/>
      <c r="I41" s="156"/>
      <c r="J41" s="137"/>
      <c r="K41" s="411">
        <f>SUM(I32:I40)</f>
        <v>0</v>
      </c>
      <c r="L41" s="411"/>
      <c r="M41" s="137"/>
      <c r="N41" s="137"/>
      <c r="O41" s="137"/>
      <c r="P41" s="138"/>
    </row>
    <row r="42" spans="2:16" x14ac:dyDescent="0.25">
      <c r="B42" s="135"/>
      <c r="C42" s="153" t="s">
        <v>11</v>
      </c>
      <c r="D42" s="153"/>
      <c r="E42" s="161"/>
      <c r="F42" s="153"/>
      <c r="G42" s="161"/>
      <c r="H42" s="128">
        <v>0.03</v>
      </c>
      <c r="I42" s="162"/>
      <c r="J42" s="153"/>
      <c r="K42" s="403">
        <f>CEILING(K41*H42,500)</f>
        <v>0</v>
      </c>
      <c r="L42" s="403"/>
      <c r="M42" s="306" t="s">
        <v>486</v>
      </c>
      <c r="N42" s="266"/>
      <c r="O42" s="266"/>
      <c r="P42" s="138"/>
    </row>
    <row r="43" spans="2:16" ht="5.0999999999999996" customHeight="1" x14ac:dyDescent="0.25">
      <c r="B43" s="135"/>
      <c r="C43" s="137"/>
      <c r="D43" s="137"/>
      <c r="E43" s="158"/>
      <c r="F43" s="159"/>
      <c r="G43" s="159"/>
      <c r="H43" s="159"/>
      <c r="I43" s="155"/>
      <c r="J43" s="137"/>
      <c r="K43" s="162"/>
      <c r="L43" s="153"/>
      <c r="M43" s="137"/>
      <c r="N43" s="266"/>
      <c r="O43" s="266"/>
      <c r="P43" s="138"/>
    </row>
    <row r="44" spans="2:16" x14ac:dyDescent="0.25">
      <c r="B44" s="135"/>
      <c r="C44" s="148" t="s">
        <v>296</v>
      </c>
      <c r="D44" s="137"/>
      <c r="E44" s="158"/>
      <c r="F44" s="159"/>
      <c r="G44" s="159"/>
      <c r="H44" s="159"/>
      <c r="I44" s="155"/>
      <c r="J44" s="137"/>
      <c r="K44" s="412">
        <f>SUM(K29,K30,K41,K42)</f>
        <v>0</v>
      </c>
      <c r="L44" s="413"/>
      <c r="M44" s="137"/>
      <c r="N44" s="408"/>
      <c r="O44" s="408"/>
      <c r="P44" s="138"/>
    </row>
    <row r="45" spans="2:16" x14ac:dyDescent="0.25">
      <c r="B45" s="135"/>
      <c r="C45" s="137"/>
      <c r="D45" s="137"/>
      <c r="E45" s="158"/>
      <c r="F45" s="159"/>
      <c r="G45" s="159"/>
      <c r="H45" s="159"/>
      <c r="I45" s="155"/>
      <c r="J45" s="137"/>
      <c r="K45" s="155"/>
      <c r="L45" s="137"/>
      <c r="M45" s="137"/>
      <c r="N45" s="137"/>
      <c r="O45" s="137"/>
      <c r="P45" s="138"/>
    </row>
    <row r="46" spans="2:16" x14ac:dyDescent="0.25">
      <c r="B46" s="135"/>
      <c r="C46" s="149" t="s">
        <v>23</v>
      </c>
      <c r="D46" s="137"/>
      <c r="E46" s="157"/>
      <c r="F46" s="137"/>
      <c r="G46" s="157"/>
      <c r="H46" s="129">
        <v>0.15</v>
      </c>
      <c r="I46" s="155"/>
      <c r="J46" s="137"/>
      <c r="K46" s="422">
        <f>CEILING(+H46*K44,500)</f>
        <v>0</v>
      </c>
      <c r="L46" s="422"/>
      <c r="M46" s="306" t="s">
        <v>487</v>
      </c>
      <c r="N46" s="137"/>
      <c r="O46" s="137"/>
      <c r="P46" s="138"/>
    </row>
    <row r="47" spans="2:16" ht="5.0999999999999996" customHeight="1" x14ac:dyDescent="0.25">
      <c r="B47" s="135"/>
      <c r="C47" s="163"/>
      <c r="D47" s="163"/>
      <c r="E47" s="163"/>
      <c r="F47" s="163"/>
      <c r="G47" s="163"/>
      <c r="H47" s="163"/>
      <c r="I47" s="164"/>
      <c r="J47" s="163"/>
      <c r="K47" s="162"/>
      <c r="L47" s="163"/>
      <c r="M47" s="137"/>
      <c r="N47" s="137"/>
      <c r="O47" s="137"/>
      <c r="P47" s="138"/>
    </row>
    <row r="48" spans="2:16" x14ac:dyDescent="0.25">
      <c r="B48" s="135"/>
      <c r="C48" s="165" t="s">
        <v>12</v>
      </c>
      <c r="D48" s="137"/>
      <c r="E48" s="137"/>
      <c r="F48" s="137"/>
      <c r="G48" s="137"/>
      <c r="H48" s="137"/>
      <c r="I48" s="166"/>
      <c r="J48" s="137"/>
      <c r="K48" s="419">
        <f>SUM(K44:L47)</f>
        <v>0</v>
      </c>
      <c r="L48" s="420"/>
      <c r="M48" s="137"/>
      <c r="N48" s="137"/>
      <c r="O48" s="137"/>
      <c r="P48" s="138"/>
    </row>
    <row r="49" spans="2:16" ht="5.0999999999999996" customHeight="1" thickBot="1" x14ac:dyDescent="0.3">
      <c r="B49" s="140"/>
      <c r="C49" s="142"/>
      <c r="D49" s="142"/>
      <c r="E49" s="142"/>
      <c r="F49" s="142"/>
      <c r="G49" s="142"/>
      <c r="H49" s="142"/>
      <c r="I49" s="142"/>
      <c r="J49" s="142"/>
      <c r="K49" s="142"/>
      <c r="L49" s="142"/>
      <c r="M49" s="142"/>
      <c r="N49" s="142"/>
      <c r="O49" s="142"/>
      <c r="P49" s="143"/>
    </row>
    <row r="50" spans="2:16" ht="30" customHeight="1" thickBot="1" x14ac:dyDescent="0.3">
      <c r="B50" s="135"/>
      <c r="C50" s="137"/>
      <c r="D50" s="137"/>
      <c r="E50" s="137"/>
      <c r="F50" s="137"/>
      <c r="G50" s="137"/>
      <c r="H50" s="137"/>
      <c r="I50" s="137"/>
      <c r="J50" s="137"/>
      <c r="K50" s="137"/>
      <c r="L50" s="137"/>
      <c r="M50" s="137"/>
      <c r="N50" s="137"/>
      <c r="O50" s="137"/>
      <c r="P50" s="138"/>
    </row>
    <row r="51" spans="2:16" ht="5.0999999999999996" customHeight="1" x14ac:dyDescent="0.25">
      <c r="B51" s="132"/>
      <c r="C51" s="133"/>
      <c r="D51" s="133"/>
      <c r="E51" s="133"/>
      <c r="F51" s="133"/>
      <c r="G51" s="133"/>
      <c r="H51" s="133"/>
      <c r="I51" s="133"/>
      <c r="J51" s="133"/>
      <c r="K51" s="133"/>
      <c r="L51" s="133"/>
      <c r="M51" s="133"/>
      <c r="N51" s="133"/>
      <c r="O51" s="133"/>
      <c r="P51" s="134"/>
    </row>
    <row r="52" spans="2:16" s="137" customFormat="1" x14ac:dyDescent="0.25">
      <c r="B52" s="135"/>
      <c r="C52" s="167" t="str">
        <f>IF(K48-E61=0,"Financiële dekking is sluitend","Financiële dekking is niet sluitend")</f>
        <v>Financiële dekking is sluitend</v>
      </c>
      <c r="P52" s="138"/>
    </row>
    <row r="53" spans="2:16" s="137" customFormat="1" ht="15.75" thickBot="1" x14ac:dyDescent="0.3">
      <c r="B53" s="140"/>
      <c r="C53" s="147"/>
      <c r="D53" s="142"/>
      <c r="E53" s="142"/>
      <c r="F53" s="142"/>
      <c r="G53" s="142"/>
      <c r="H53" s="142"/>
      <c r="I53" s="142"/>
      <c r="J53" s="142"/>
      <c r="K53" s="142"/>
      <c r="L53" s="142"/>
      <c r="M53" s="142"/>
      <c r="N53" s="142"/>
      <c r="O53" s="142"/>
      <c r="P53" s="143"/>
    </row>
    <row r="54" spans="2:16" ht="5.0999999999999996" customHeight="1" x14ac:dyDescent="0.25">
      <c r="B54" s="135"/>
      <c r="C54" s="168"/>
      <c r="D54" s="168"/>
      <c r="E54" s="168"/>
      <c r="F54" s="168"/>
      <c r="G54" s="168"/>
      <c r="H54" s="168"/>
      <c r="I54" s="168"/>
      <c r="J54" s="168"/>
      <c r="K54" s="168"/>
      <c r="L54" s="168"/>
      <c r="M54" s="168"/>
      <c r="N54" s="168"/>
      <c r="O54" s="168"/>
      <c r="P54" s="138"/>
    </row>
    <row r="55" spans="2:16" ht="49.5" customHeight="1" x14ac:dyDescent="0.25">
      <c r="B55" s="135"/>
      <c r="C55" s="169" t="s">
        <v>25</v>
      </c>
      <c r="D55" s="169"/>
      <c r="E55" s="421" t="s">
        <v>12</v>
      </c>
      <c r="F55" s="421"/>
      <c r="G55" s="169">
        <v>2018</v>
      </c>
      <c r="H55" s="232" t="s">
        <v>295</v>
      </c>
      <c r="I55" s="169">
        <v>2019</v>
      </c>
      <c r="J55" s="233" t="s">
        <v>295</v>
      </c>
      <c r="K55" s="169">
        <v>2020</v>
      </c>
      <c r="L55" s="233" t="s">
        <v>295</v>
      </c>
      <c r="M55" s="169">
        <v>2021</v>
      </c>
      <c r="N55" s="233" t="s">
        <v>295</v>
      </c>
      <c r="O55" s="325" t="s">
        <v>469</v>
      </c>
      <c r="P55" s="238"/>
    </row>
    <row r="56" spans="2:16" x14ac:dyDescent="0.25">
      <c r="B56" s="135"/>
      <c r="C56" s="149" t="s">
        <v>6</v>
      </c>
      <c r="D56" s="149"/>
      <c r="E56" s="401"/>
      <c r="F56" s="401"/>
      <c r="G56" s="234">
        <f>$E56*H56</f>
        <v>0</v>
      </c>
      <c r="H56" s="130"/>
      <c r="I56" s="170">
        <f>$E56*J56</f>
        <v>0</v>
      </c>
      <c r="J56" s="130"/>
      <c r="K56" s="170">
        <f>$E56*L56</f>
        <v>0</v>
      </c>
      <c r="L56" s="130"/>
      <c r="M56" s="170">
        <f>$E56*N56</f>
        <v>0</v>
      </c>
      <c r="N56" s="130"/>
      <c r="O56" s="326">
        <f>H56+J56+L56+N56</f>
        <v>0</v>
      </c>
      <c r="P56" s="230"/>
    </row>
    <row r="57" spans="2:16" x14ac:dyDescent="0.25">
      <c r="B57" s="135"/>
      <c r="C57" s="149" t="s">
        <v>7</v>
      </c>
      <c r="D57" s="149"/>
      <c r="E57" s="401"/>
      <c r="F57" s="401"/>
      <c r="G57" s="235">
        <f>$E57*H57</f>
        <v>0</v>
      </c>
      <c r="H57" s="130"/>
      <c r="I57" s="170">
        <f>$E57*J57</f>
        <v>0</v>
      </c>
      <c r="J57" s="130"/>
      <c r="K57" s="170">
        <f>$E57*L57</f>
        <v>0</v>
      </c>
      <c r="L57" s="130"/>
      <c r="M57" s="170">
        <f>$E57*N57</f>
        <v>0</v>
      </c>
      <c r="N57" s="130"/>
      <c r="O57" s="326">
        <f>H57+J57+L57+N57</f>
        <v>0</v>
      </c>
      <c r="P57" s="230"/>
    </row>
    <row r="58" spans="2:16" x14ac:dyDescent="0.25">
      <c r="B58" s="135"/>
      <c r="C58" s="149" t="s">
        <v>8</v>
      </c>
      <c r="D58" s="149"/>
      <c r="E58" s="401"/>
      <c r="F58" s="401"/>
      <c r="G58" s="235">
        <f>$E58*H58</f>
        <v>0</v>
      </c>
      <c r="H58" s="130"/>
      <c r="I58" s="170">
        <f>$E58*J58</f>
        <v>0</v>
      </c>
      <c r="J58" s="130"/>
      <c r="K58" s="170">
        <f>$E58*L58</f>
        <v>0</v>
      </c>
      <c r="L58" s="130"/>
      <c r="M58" s="170">
        <f>$E58*N58</f>
        <v>0</v>
      </c>
      <c r="N58" s="130"/>
      <c r="O58" s="326">
        <f>H58+J58+L58+N58</f>
        <v>0</v>
      </c>
      <c r="P58" s="230"/>
    </row>
    <row r="59" spans="2:16" x14ac:dyDescent="0.25">
      <c r="B59" s="135"/>
      <c r="C59" s="149" t="s">
        <v>369</v>
      </c>
      <c r="D59" s="149"/>
      <c r="E59" s="401"/>
      <c r="F59" s="401"/>
      <c r="G59" s="236">
        <f>$E59*H59</f>
        <v>0</v>
      </c>
      <c r="H59" s="130"/>
      <c r="I59" s="170">
        <f>$E59*J59</f>
        <v>0</v>
      </c>
      <c r="J59" s="130"/>
      <c r="K59" s="170">
        <f>$E59*L59</f>
        <v>0</v>
      </c>
      <c r="L59" s="130"/>
      <c r="M59" s="170">
        <f>$E59*N59</f>
        <v>0</v>
      </c>
      <c r="N59" s="130"/>
      <c r="O59" s="326">
        <f>H59+J59+L59+N59</f>
        <v>0</v>
      </c>
      <c r="P59" s="230"/>
    </row>
    <row r="60" spans="2:16" ht="5.0999999999999996" customHeight="1" x14ac:dyDescent="0.25">
      <c r="B60" s="135"/>
      <c r="C60" s="163"/>
      <c r="D60" s="163"/>
      <c r="E60" s="172"/>
      <c r="F60" s="172"/>
      <c r="G60" s="173"/>
      <c r="H60" s="171"/>
      <c r="I60" s="173"/>
      <c r="J60" s="174"/>
      <c r="K60" s="173"/>
      <c r="L60" s="174"/>
      <c r="M60" s="173"/>
      <c r="N60" s="175"/>
      <c r="O60" s="327"/>
      <c r="P60" s="231"/>
    </row>
    <row r="61" spans="2:16" x14ac:dyDescent="0.25">
      <c r="B61" s="135"/>
      <c r="C61" s="176" t="s">
        <v>12</v>
      </c>
      <c r="D61" s="176"/>
      <c r="E61" s="402">
        <f>SUM(G61+I61+K61+M61)</f>
        <v>0</v>
      </c>
      <c r="F61" s="402"/>
      <c r="G61" s="170">
        <f>SUM(G56:G59)</f>
        <v>0</v>
      </c>
      <c r="H61" s="177" t="e">
        <f>(+G56+G57+G58+G59)/$E$61</f>
        <v>#DIV/0!</v>
      </c>
      <c r="I61" s="170">
        <f>SUM(I56:I59)</f>
        <v>0</v>
      </c>
      <c r="J61" s="177" t="e">
        <f>(+I56+I57+I58+I59)/$E$61</f>
        <v>#DIV/0!</v>
      </c>
      <c r="K61" s="170">
        <f>SUM(K56:K59)</f>
        <v>0</v>
      </c>
      <c r="L61" s="177" t="e">
        <f>(+K56+K57+K58+K59)/$E$61</f>
        <v>#DIV/0!</v>
      </c>
      <c r="M61" s="170">
        <f>SUM(M56:M59)</f>
        <v>0</v>
      </c>
      <c r="N61" s="177" t="e">
        <f>(+M56+M57+M58+M59)/$E$61</f>
        <v>#DIV/0!</v>
      </c>
      <c r="O61" s="326" t="e">
        <f>H61+J61+L61+N61</f>
        <v>#DIV/0!</v>
      </c>
      <c r="P61" s="231"/>
    </row>
    <row r="62" spans="2:16" ht="5.0999999999999996" customHeight="1" thickBot="1" x14ac:dyDescent="0.3">
      <c r="B62" s="140"/>
      <c r="C62" s="142"/>
      <c r="D62" s="142"/>
      <c r="E62" s="142"/>
      <c r="F62" s="142"/>
      <c r="G62" s="142"/>
      <c r="H62" s="142"/>
      <c r="I62" s="142"/>
      <c r="J62" s="142"/>
      <c r="K62" s="142"/>
      <c r="L62" s="142"/>
      <c r="M62" s="142"/>
      <c r="N62" s="142"/>
      <c r="O62" s="142"/>
      <c r="P62" s="143"/>
    </row>
    <row r="64" spans="2:16" x14ac:dyDescent="0.25">
      <c r="C64" s="398" t="s">
        <v>397</v>
      </c>
      <c r="D64" s="398"/>
      <c r="E64" s="418">
        <f>E61-K48</f>
        <v>0</v>
      </c>
      <c r="F64" s="418"/>
      <c r="H64" s="177"/>
      <c r="I64" s="179"/>
      <c r="J64" s="179"/>
    </row>
  </sheetData>
  <sheetProtection selectLockedCells="1"/>
  <protectedRanges>
    <protectedRange password="C44E" sqref="E14:N16 E19" name="Bereik1"/>
  </protectedRanges>
  <mergeCells count="32">
    <mergeCell ref="E6:G6"/>
    <mergeCell ref="E7:G7"/>
    <mergeCell ref="C15:D15"/>
    <mergeCell ref="C16:D16"/>
    <mergeCell ref="E8:G8"/>
    <mergeCell ref="E15:N15"/>
    <mergeCell ref="E16:N16"/>
    <mergeCell ref="K44:L44"/>
    <mergeCell ref="E20:F20"/>
    <mergeCell ref="E18:F18"/>
    <mergeCell ref="E64:F64"/>
    <mergeCell ref="E57:F57"/>
    <mergeCell ref="K48:L48"/>
    <mergeCell ref="E56:F56"/>
    <mergeCell ref="E55:F55"/>
    <mergeCell ref="K46:L46"/>
    <mergeCell ref="C64:D64"/>
    <mergeCell ref="C21:D21"/>
    <mergeCell ref="E17:N17"/>
    <mergeCell ref="E58:F58"/>
    <mergeCell ref="E59:F59"/>
    <mergeCell ref="E61:F61"/>
    <mergeCell ref="K42:L42"/>
    <mergeCell ref="E21:F21"/>
    <mergeCell ref="C20:D20"/>
    <mergeCell ref="C19:D19"/>
    <mergeCell ref="C17:D17"/>
    <mergeCell ref="N44:O44"/>
    <mergeCell ref="E19:F19"/>
    <mergeCell ref="K29:L29"/>
    <mergeCell ref="K30:L30"/>
    <mergeCell ref="K41:L41"/>
  </mergeCells>
  <phoneticPr fontId="0" type="noConversion"/>
  <printOptions horizontalCentered="1"/>
  <pageMargins left="0.78740157480314965" right="0.59055118110236227" top="0.98425196850393704" bottom="0.98425196850393704" header="0.51181102362204722" footer="0.51181102362204722"/>
  <pageSetup paperSize="9" scale="85" orientation="portrait" r:id="rId1"/>
  <headerFooter alignWithMargins="0">
    <oddFooter>&amp;L&amp;G
projectnummer: 0509&amp;Rconcept: 11 april 2007
blad &amp;P van &amp;N</oddFooter>
  </headerFooter>
  <drawing r:id="rId2"/>
  <legacyDrawing r:id="rId3"/>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Q135"/>
  <sheetViews>
    <sheetView showGridLines="0" topLeftCell="A16" zoomScaleNormal="100" zoomScaleSheetLayoutView="115" workbookViewId="0">
      <selection activeCell="J13" sqref="J13"/>
    </sheetView>
  </sheetViews>
  <sheetFormatPr defaultRowHeight="15" x14ac:dyDescent="0.25"/>
  <cols>
    <col min="1" max="1" width="2.7109375" customWidth="1"/>
    <col min="2" max="2" width="1.7109375" customWidth="1"/>
    <col min="3" max="5" width="8.7109375" customWidth="1"/>
    <col min="6" max="6" width="5.7109375" customWidth="1"/>
    <col min="7" max="7" width="10.7109375" style="18" customWidth="1"/>
    <col min="8" max="8" width="5.7109375" customWidth="1"/>
    <col min="9" max="9" width="10.7109375" style="21" customWidth="1"/>
    <col min="10" max="10" width="5.7109375" customWidth="1"/>
    <col min="11" max="11" width="10.7109375" customWidth="1"/>
    <col min="12" max="12" width="5.7109375" customWidth="1"/>
    <col min="13" max="13" width="10.7109375" style="58" customWidth="1"/>
    <col min="14" max="14" width="5.7109375" customWidth="1"/>
    <col min="15" max="15" width="10.7109375" customWidth="1"/>
    <col min="16" max="16" width="1.7109375" customWidth="1"/>
  </cols>
  <sheetData>
    <row r="1" spans="1:16" ht="15.75" thickBot="1" x14ac:dyDescent="0.3"/>
    <row r="2" spans="1:16" ht="5.0999999999999996" customHeight="1" x14ac:dyDescent="0.25">
      <c r="B2" s="3"/>
      <c r="C2" s="4"/>
      <c r="D2" s="4"/>
      <c r="E2" s="4"/>
      <c r="F2" s="4"/>
      <c r="G2" s="4"/>
      <c r="H2" s="4"/>
      <c r="I2" s="4"/>
      <c r="J2" s="4"/>
      <c r="K2" s="4"/>
      <c r="L2" s="4"/>
      <c r="M2" s="59"/>
      <c r="N2" s="4"/>
      <c r="O2" s="4"/>
      <c r="P2" s="5"/>
    </row>
    <row r="3" spans="1:16" ht="18.75" x14ac:dyDescent="0.3">
      <c r="B3" s="6"/>
      <c r="C3" s="7" t="s">
        <v>100</v>
      </c>
      <c r="D3" s="1"/>
      <c r="E3" s="1"/>
      <c r="F3" s="1"/>
      <c r="G3" s="1"/>
      <c r="H3" s="1"/>
      <c r="I3" s="1"/>
      <c r="J3" s="1"/>
      <c r="K3" s="1"/>
      <c r="L3" s="1"/>
      <c r="M3" s="60"/>
      <c r="N3" s="1"/>
      <c r="O3" s="1"/>
      <c r="P3" s="8"/>
    </row>
    <row r="4" spans="1:16" x14ac:dyDescent="0.25">
      <c r="B4" s="6"/>
      <c r="C4" s="2" t="s">
        <v>27</v>
      </c>
      <c r="D4" s="1"/>
      <c r="E4" s="1"/>
      <c r="F4" s="1"/>
      <c r="G4" s="1"/>
      <c r="H4" s="1"/>
      <c r="I4" s="1"/>
      <c r="J4" s="1"/>
      <c r="K4" s="1"/>
      <c r="L4" s="1"/>
      <c r="M4" s="60"/>
      <c r="N4" s="1"/>
      <c r="O4" s="1"/>
      <c r="P4" s="8"/>
    </row>
    <row r="5" spans="1:16" ht="18.75" x14ac:dyDescent="0.3">
      <c r="B5" s="6"/>
      <c r="C5" s="7"/>
      <c r="D5" s="1"/>
      <c r="E5" s="1"/>
      <c r="F5" s="1"/>
      <c r="G5" s="1"/>
      <c r="H5" s="1"/>
      <c r="I5" s="1"/>
      <c r="J5" s="1"/>
      <c r="K5" s="1"/>
      <c r="L5" s="1"/>
      <c r="M5" s="60"/>
      <c r="N5" s="1"/>
      <c r="O5" s="1"/>
      <c r="P5" s="8"/>
    </row>
    <row r="6" spans="1:16" x14ac:dyDescent="0.25">
      <c r="B6" s="6"/>
      <c r="C6" s="300" t="s">
        <v>1</v>
      </c>
      <c r="D6" s="440">
        <f>Samenvatting!E6</f>
        <v>43186</v>
      </c>
      <c r="E6" s="440">
        <v>0</v>
      </c>
      <c r="F6" s="1"/>
      <c r="G6" s="1"/>
      <c r="H6" s="1"/>
      <c r="I6" s="1"/>
      <c r="J6" s="1"/>
      <c r="K6" s="1"/>
      <c r="L6" s="1"/>
      <c r="M6" s="60"/>
      <c r="N6" s="1"/>
      <c r="O6" s="1"/>
      <c r="P6" s="8"/>
    </row>
    <row r="7" spans="1:16" x14ac:dyDescent="0.25">
      <c r="B7" s="6"/>
      <c r="C7" s="301" t="s">
        <v>26</v>
      </c>
      <c r="D7" s="302">
        <f>Samenvatting!E7</f>
        <v>0</v>
      </c>
      <c r="E7" s="302"/>
      <c r="F7" s="1"/>
      <c r="G7" s="1"/>
      <c r="H7" s="1"/>
      <c r="I7" s="1"/>
      <c r="J7" s="1"/>
      <c r="K7" s="1"/>
      <c r="L7" s="1"/>
      <c r="M7" s="60"/>
      <c r="N7" s="1"/>
      <c r="O7" s="1"/>
      <c r="P7" s="8"/>
    </row>
    <row r="8" spans="1:16" ht="5.0999999999999996" customHeight="1" thickBot="1" x14ac:dyDescent="0.3">
      <c r="B8" s="12"/>
      <c r="C8" s="15"/>
      <c r="D8" s="13"/>
      <c r="E8" s="13"/>
      <c r="F8" s="13"/>
      <c r="G8" s="13"/>
      <c r="H8" s="13"/>
      <c r="I8" s="13"/>
      <c r="J8" s="13"/>
      <c r="K8" s="13"/>
      <c r="L8" s="13"/>
      <c r="M8" s="61"/>
      <c r="N8" s="13"/>
      <c r="O8" s="13"/>
      <c r="P8" s="14"/>
    </row>
    <row r="9" spans="1:16" ht="30" customHeight="1" thickBot="1" x14ac:dyDescent="0.3">
      <c r="B9" s="1"/>
      <c r="C9" s="10"/>
      <c r="D9" s="1"/>
      <c r="E9" s="1"/>
      <c r="F9" s="1"/>
      <c r="G9" s="1"/>
      <c r="H9" s="1"/>
      <c r="I9" s="1"/>
      <c r="J9" s="1"/>
      <c r="K9" s="1"/>
      <c r="L9" s="1"/>
      <c r="M9" s="60"/>
      <c r="N9" s="1"/>
      <c r="O9" s="1"/>
      <c r="P9" s="1"/>
    </row>
    <row r="10" spans="1:16" ht="5.0999999999999996" customHeight="1" x14ac:dyDescent="0.25">
      <c r="A10" s="28"/>
      <c r="B10" s="40"/>
      <c r="C10" s="41"/>
      <c r="D10" s="32"/>
      <c r="E10" s="32"/>
      <c r="F10" s="32"/>
      <c r="G10" s="32"/>
      <c r="H10" s="32"/>
      <c r="I10" s="32"/>
      <c r="J10" s="32"/>
      <c r="K10" s="32"/>
      <c r="L10" s="32"/>
      <c r="M10" s="62"/>
      <c r="N10" s="32"/>
      <c r="O10" s="32"/>
      <c r="P10" s="33"/>
    </row>
    <row r="11" spans="1:16" s="1" customFormat="1" x14ac:dyDescent="0.25">
      <c r="A11" s="2"/>
      <c r="B11" s="42"/>
      <c r="C11" s="35" t="s">
        <v>83</v>
      </c>
      <c r="D11" s="36"/>
      <c r="E11" s="36"/>
      <c r="F11" s="36"/>
      <c r="G11" s="36"/>
      <c r="H11" s="36"/>
      <c r="I11" s="36"/>
      <c r="J11" s="36"/>
      <c r="K11" s="36"/>
      <c r="L11" s="36"/>
      <c r="M11" s="29"/>
      <c r="N11" s="36"/>
      <c r="O11" s="36"/>
      <c r="P11" s="37"/>
    </row>
    <row r="12" spans="1:16" ht="15.75" thickBot="1" x14ac:dyDescent="0.3">
      <c r="A12" s="28"/>
      <c r="B12" s="46"/>
      <c r="C12" s="48" t="s">
        <v>56</v>
      </c>
      <c r="D12" s="50" t="s">
        <v>55</v>
      </c>
      <c r="E12" s="49"/>
      <c r="F12" s="38"/>
      <c r="G12" s="38"/>
      <c r="H12" s="38"/>
      <c r="I12" s="50"/>
      <c r="J12" s="48"/>
      <c r="K12" s="38"/>
      <c r="L12" s="48"/>
      <c r="M12" s="50" t="s">
        <v>82</v>
      </c>
      <c r="N12" s="50" t="s">
        <v>53</v>
      </c>
      <c r="O12" s="48"/>
      <c r="P12" s="39"/>
    </row>
    <row r="13" spans="1:16" x14ac:dyDescent="0.25">
      <c r="B13" s="6"/>
      <c r="C13" s="1"/>
      <c r="D13" s="11" t="s">
        <v>35</v>
      </c>
      <c r="E13" s="1"/>
      <c r="F13" s="1"/>
      <c r="G13" s="1"/>
      <c r="H13" s="1"/>
      <c r="I13" s="22"/>
      <c r="J13" s="1"/>
      <c r="K13" s="1"/>
      <c r="L13" s="1"/>
      <c r="M13" s="64">
        <v>35</v>
      </c>
      <c r="N13" s="1" t="s">
        <v>33</v>
      </c>
      <c r="O13" s="1"/>
      <c r="P13" s="8"/>
    </row>
    <row r="14" spans="1:16" x14ac:dyDescent="0.25">
      <c r="B14" s="6"/>
      <c r="C14" s="1"/>
      <c r="D14" s="11" t="s">
        <v>102</v>
      </c>
      <c r="E14" s="1"/>
      <c r="F14" s="1"/>
      <c r="G14" s="1"/>
      <c r="H14" s="1"/>
      <c r="I14" s="22"/>
      <c r="J14" s="1"/>
      <c r="K14" s="1"/>
      <c r="L14" s="1"/>
      <c r="M14" s="64">
        <v>38</v>
      </c>
      <c r="N14" s="1" t="s">
        <v>33</v>
      </c>
      <c r="O14" s="1"/>
      <c r="P14" s="8"/>
    </row>
    <row r="15" spans="1:16" x14ac:dyDescent="0.25">
      <c r="B15" s="6"/>
      <c r="C15" s="1"/>
      <c r="D15" s="11" t="s">
        <v>233</v>
      </c>
      <c r="E15" s="1"/>
      <c r="F15" s="1"/>
      <c r="G15" s="1"/>
      <c r="H15" s="1"/>
      <c r="I15" s="22"/>
      <c r="J15" s="1"/>
      <c r="K15" s="1"/>
      <c r="L15" s="1"/>
      <c r="M15" s="64">
        <v>35</v>
      </c>
      <c r="N15" s="66" t="s">
        <v>33</v>
      </c>
      <c r="O15" s="1"/>
      <c r="P15" s="8"/>
    </row>
    <row r="16" spans="1:16" x14ac:dyDescent="0.25">
      <c r="B16" s="6"/>
      <c r="C16" s="1"/>
      <c r="D16" s="11" t="s">
        <v>42</v>
      </c>
      <c r="E16" s="1"/>
      <c r="F16" s="1"/>
      <c r="G16" s="1"/>
      <c r="H16" s="1"/>
      <c r="I16" s="22"/>
      <c r="J16" s="1"/>
      <c r="K16" s="1"/>
      <c r="L16" s="1"/>
      <c r="M16" s="64">
        <v>45</v>
      </c>
      <c r="N16" s="1" t="s">
        <v>33</v>
      </c>
      <c r="O16" s="1"/>
      <c r="P16" s="8"/>
    </row>
    <row r="17" spans="1:16" x14ac:dyDescent="0.25">
      <c r="B17" s="6"/>
      <c r="C17" s="1"/>
      <c r="D17" s="11" t="s">
        <v>284</v>
      </c>
      <c r="E17" s="1"/>
      <c r="F17" s="1"/>
      <c r="G17" s="1"/>
      <c r="H17" s="1"/>
      <c r="I17" s="22"/>
      <c r="J17" s="1"/>
      <c r="K17" s="1"/>
      <c r="L17" s="1"/>
      <c r="M17" s="64">
        <v>50</v>
      </c>
      <c r="N17" s="66" t="s">
        <v>33</v>
      </c>
      <c r="O17" s="1"/>
      <c r="P17" s="8"/>
    </row>
    <row r="18" spans="1:16" x14ac:dyDescent="0.25">
      <c r="B18" s="6"/>
      <c r="C18" s="1"/>
      <c r="D18" s="11" t="s">
        <v>104</v>
      </c>
      <c r="E18" s="1"/>
      <c r="F18" s="1"/>
      <c r="G18" s="1"/>
      <c r="H18" s="1"/>
      <c r="I18" s="22"/>
      <c r="J18" s="1"/>
      <c r="K18" s="1"/>
      <c r="L18" s="1"/>
      <c r="M18" s="64">
        <v>110</v>
      </c>
      <c r="N18" s="66" t="s">
        <v>33</v>
      </c>
      <c r="O18" s="1"/>
      <c r="P18" s="8"/>
    </row>
    <row r="19" spans="1:16" x14ac:dyDescent="0.25">
      <c r="B19" s="6"/>
      <c r="C19" s="1"/>
      <c r="D19" s="11" t="s">
        <v>103</v>
      </c>
      <c r="E19" s="1"/>
      <c r="F19" s="1"/>
      <c r="G19" s="1"/>
      <c r="H19" s="1"/>
      <c r="I19" s="22"/>
      <c r="J19" s="1"/>
      <c r="K19" s="1"/>
      <c r="L19" s="1"/>
      <c r="M19" s="64">
        <v>55</v>
      </c>
      <c r="N19" s="1" t="s">
        <v>33</v>
      </c>
      <c r="O19" s="1"/>
      <c r="P19" s="8"/>
    </row>
    <row r="20" spans="1:16" ht="5.0999999999999996" customHeight="1" thickBot="1" x14ac:dyDescent="0.3">
      <c r="B20" s="12"/>
      <c r="C20" s="13"/>
      <c r="D20" s="53"/>
      <c r="E20" s="13"/>
      <c r="F20" s="13"/>
      <c r="G20" s="13"/>
      <c r="H20" s="13"/>
      <c r="I20" s="56"/>
      <c r="J20" s="13"/>
      <c r="K20" s="13"/>
      <c r="L20" s="13"/>
      <c r="M20" s="65"/>
      <c r="N20" s="13"/>
      <c r="O20" s="13"/>
      <c r="P20" s="14"/>
    </row>
    <row r="21" spans="1:16" ht="30" customHeight="1" thickBot="1" x14ac:dyDescent="0.3"/>
    <row r="22" spans="1:16" ht="5.0999999999999996" customHeight="1" x14ac:dyDescent="0.25">
      <c r="A22" s="28"/>
      <c r="B22" s="40"/>
      <c r="C22" s="41"/>
      <c r="D22" s="32"/>
      <c r="E22" s="32"/>
      <c r="F22" s="32"/>
      <c r="G22" s="32"/>
      <c r="H22" s="32"/>
      <c r="I22" s="32"/>
      <c r="J22" s="32"/>
      <c r="K22" s="32"/>
      <c r="L22" s="32"/>
      <c r="M22" s="62"/>
      <c r="N22" s="32"/>
      <c r="O22" s="32"/>
      <c r="P22" s="33"/>
    </row>
    <row r="23" spans="1:16" s="1" customFormat="1" x14ac:dyDescent="0.25">
      <c r="A23" s="2"/>
      <c r="B23" s="42"/>
      <c r="C23" s="35" t="s">
        <v>38</v>
      </c>
      <c r="D23" s="36"/>
      <c r="E23" s="36"/>
      <c r="F23" s="36"/>
      <c r="G23" s="36"/>
      <c r="H23" s="36"/>
      <c r="I23" s="36"/>
      <c r="J23" s="36"/>
      <c r="K23" s="36"/>
      <c r="L23" s="36"/>
      <c r="M23" s="29"/>
      <c r="N23" s="36"/>
      <c r="O23" s="36"/>
      <c r="P23" s="37"/>
    </row>
    <row r="24" spans="1:16" ht="15.75" thickBot="1" x14ac:dyDescent="0.3">
      <c r="A24" s="28"/>
      <c r="B24" s="46"/>
      <c r="C24" s="48" t="s">
        <v>56</v>
      </c>
      <c r="D24" s="48" t="s">
        <v>55</v>
      </c>
      <c r="E24" s="49"/>
      <c r="F24" s="38"/>
      <c r="G24" s="38"/>
      <c r="H24" s="38"/>
      <c r="I24" s="50"/>
      <c r="J24" s="48"/>
      <c r="K24" s="38"/>
      <c r="L24" s="48"/>
      <c r="M24" s="50" t="s">
        <v>82</v>
      </c>
      <c r="N24" s="50" t="s">
        <v>53</v>
      </c>
      <c r="O24" s="48"/>
      <c r="P24" s="39"/>
    </row>
    <row r="25" spans="1:16" x14ac:dyDescent="0.25">
      <c r="B25" s="6"/>
      <c r="C25" s="1"/>
      <c r="D25" s="11" t="s">
        <v>72</v>
      </c>
      <c r="E25" s="1"/>
      <c r="F25" s="1"/>
      <c r="G25" s="1"/>
      <c r="H25" s="1"/>
      <c r="M25" s="63">
        <v>55</v>
      </c>
      <c r="N25" s="1" t="s">
        <v>33</v>
      </c>
      <c r="O25" s="1"/>
      <c r="P25" s="8"/>
    </row>
    <row r="26" spans="1:16" x14ac:dyDescent="0.25">
      <c r="B26" s="6"/>
      <c r="C26" s="1"/>
      <c r="D26" s="11" t="s">
        <v>74</v>
      </c>
      <c r="E26" s="1"/>
      <c r="F26" s="1"/>
      <c r="G26" s="1"/>
      <c r="H26" s="1"/>
      <c r="M26" s="63">
        <v>48</v>
      </c>
      <c r="N26" s="1" t="s">
        <v>33</v>
      </c>
      <c r="O26" s="1"/>
      <c r="P26" s="8"/>
    </row>
    <row r="27" spans="1:16" x14ac:dyDescent="0.25">
      <c r="B27" s="6"/>
      <c r="C27" s="1"/>
      <c r="D27" s="11" t="s">
        <v>73</v>
      </c>
      <c r="E27" s="1"/>
      <c r="F27" s="1"/>
      <c r="G27" s="1"/>
      <c r="H27" s="1"/>
      <c r="M27" s="63">
        <v>52</v>
      </c>
      <c r="N27" s="1" t="s">
        <v>33</v>
      </c>
      <c r="O27" s="1"/>
      <c r="P27" s="8"/>
    </row>
    <row r="28" spans="1:16" x14ac:dyDescent="0.25">
      <c r="B28" s="6"/>
      <c r="C28" s="1"/>
      <c r="D28" s="11" t="s">
        <v>86</v>
      </c>
      <c r="E28" s="1"/>
      <c r="F28" s="1"/>
      <c r="G28" s="1"/>
      <c r="H28" s="1"/>
      <c r="M28" s="63">
        <v>52</v>
      </c>
      <c r="N28" s="66" t="s">
        <v>33</v>
      </c>
      <c r="O28" s="1"/>
      <c r="P28" s="8"/>
    </row>
    <row r="29" spans="1:16" x14ac:dyDescent="0.25">
      <c r="B29" s="6"/>
      <c r="C29" s="1"/>
      <c r="D29" s="11" t="s">
        <v>75</v>
      </c>
      <c r="E29" s="1"/>
      <c r="F29" s="1"/>
      <c r="G29" s="1"/>
      <c r="H29" s="1"/>
      <c r="M29" s="63">
        <v>200</v>
      </c>
      <c r="N29" s="1" t="s">
        <v>77</v>
      </c>
      <c r="O29" s="1"/>
      <c r="P29" s="8"/>
    </row>
    <row r="30" spans="1:16" x14ac:dyDescent="0.25">
      <c r="B30" s="6"/>
      <c r="C30" s="1"/>
      <c r="D30" s="11" t="s">
        <v>76</v>
      </c>
      <c r="E30" s="1"/>
      <c r="F30" s="1"/>
      <c r="G30" s="1"/>
      <c r="H30" s="1"/>
      <c r="M30" s="63">
        <v>250</v>
      </c>
      <c r="N30" s="1" t="s">
        <v>77</v>
      </c>
      <c r="O30" s="1"/>
      <c r="P30" s="8"/>
    </row>
    <row r="31" spans="1:16" x14ac:dyDescent="0.25">
      <c r="B31" s="6"/>
      <c r="C31" s="1"/>
      <c r="D31" s="11" t="s">
        <v>80</v>
      </c>
      <c r="E31" s="1"/>
      <c r="F31" s="1"/>
      <c r="G31" s="1"/>
      <c r="H31" s="1"/>
      <c r="M31" s="63">
        <v>42</v>
      </c>
      <c r="N31" s="1" t="s">
        <v>81</v>
      </c>
      <c r="O31" s="1"/>
      <c r="P31" s="8"/>
    </row>
    <row r="32" spans="1:16" x14ac:dyDescent="0.25">
      <c r="B32" s="6"/>
      <c r="C32" s="1"/>
      <c r="D32" s="11" t="s">
        <v>84</v>
      </c>
      <c r="E32" s="1"/>
      <c r="F32" s="1"/>
      <c r="G32" s="1"/>
      <c r="H32" s="1"/>
      <c r="M32" s="63">
        <v>1.5</v>
      </c>
      <c r="N32" s="66" t="s">
        <v>77</v>
      </c>
      <c r="O32" s="1"/>
      <c r="P32" s="8"/>
    </row>
    <row r="33" spans="2:16" x14ac:dyDescent="0.25">
      <c r="B33" s="6"/>
      <c r="C33" s="1"/>
      <c r="D33" s="11" t="s">
        <v>78</v>
      </c>
      <c r="E33" s="1"/>
      <c r="F33" s="1"/>
      <c r="G33" s="1"/>
      <c r="H33" s="1"/>
      <c r="M33" s="63">
        <v>20</v>
      </c>
      <c r="N33" s="66" t="s">
        <v>77</v>
      </c>
      <c r="O33" s="1"/>
      <c r="P33" s="8"/>
    </row>
    <row r="34" spans="2:16" x14ac:dyDescent="0.25">
      <c r="B34" s="6"/>
      <c r="C34" s="1"/>
      <c r="D34" s="11" t="s">
        <v>79</v>
      </c>
      <c r="E34" s="1"/>
      <c r="F34" s="1"/>
      <c r="G34" s="1"/>
      <c r="H34" s="1"/>
      <c r="M34" s="63">
        <v>25</v>
      </c>
      <c r="N34" s="66" t="s">
        <v>77</v>
      </c>
      <c r="O34" s="1"/>
      <c r="P34" s="8"/>
    </row>
    <row r="35" spans="2:16" x14ac:dyDescent="0.25">
      <c r="B35" s="6"/>
      <c r="C35" s="1"/>
      <c r="D35" s="11" t="s">
        <v>67</v>
      </c>
      <c r="E35" s="1"/>
      <c r="F35" s="1"/>
      <c r="G35" s="1"/>
      <c r="H35" s="1"/>
      <c r="M35" s="63">
        <v>60</v>
      </c>
      <c r="N35" s="1" t="s">
        <v>33</v>
      </c>
      <c r="O35" s="1"/>
      <c r="P35" s="8"/>
    </row>
    <row r="36" spans="2:16" x14ac:dyDescent="0.25">
      <c r="B36" s="6"/>
      <c r="C36" s="1"/>
      <c r="D36" s="11" t="s">
        <v>68</v>
      </c>
      <c r="E36" s="1"/>
      <c r="F36" s="1"/>
      <c r="G36" s="1"/>
      <c r="H36" s="1"/>
      <c r="M36" s="63">
        <v>70</v>
      </c>
      <c r="N36" s="1" t="s">
        <v>33</v>
      </c>
      <c r="O36" s="1"/>
      <c r="P36" s="8"/>
    </row>
    <row r="37" spans="2:16" x14ac:dyDescent="0.25">
      <c r="B37" s="6"/>
      <c r="C37" s="1"/>
      <c r="D37" s="11" t="s">
        <v>69</v>
      </c>
      <c r="E37" s="1"/>
      <c r="F37" s="1"/>
      <c r="G37" s="1"/>
      <c r="H37" s="1"/>
      <c r="M37" s="63">
        <v>80</v>
      </c>
      <c r="N37" s="1" t="s">
        <v>33</v>
      </c>
      <c r="O37" s="1"/>
      <c r="P37" s="8"/>
    </row>
    <row r="38" spans="2:16" x14ac:dyDescent="0.25">
      <c r="B38" s="6"/>
      <c r="C38" s="1"/>
      <c r="D38" s="11" t="s">
        <v>70</v>
      </c>
      <c r="E38" s="1"/>
      <c r="F38" s="1"/>
      <c r="G38" s="1"/>
      <c r="H38" s="1"/>
      <c r="M38" s="63">
        <v>67.5</v>
      </c>
      <c r="N38" s="1" t="s">
        <v>33</v>
      </c>
      <c r="O38" s="1"/>
      <c r="P38" s="8"/>
    </row>
    <row r="39" spans="2:16" x14ac:dyDescent="0.25">
      <c r="B39" s="6"/>
      <c r="C39" s="1"/>
      <c r="D39" s="11" t="s">
        <v>71</v>
      </c>
      <c r="E39" s="1"/>
      <c r="F39" s="1"/>
      <c r="G39" s="1"/>
      <c r="H39" s="1"/>
      <c r="M39" s="63">
        <v>75</v>
      </c>
      <c r="N39" s="1" t="s">
        <v>33</v>
      </c>
      <c r="O39" s="1"/>
      <c r="P39" s="8"/>
    </row>
    <row r="40" spans="2:16" x14ac:dyDescent="0.25">
      <c r="B40" s="6"/>
      <c r="C40" s="1"/>
      <c r="D40" s="11" t="s">
        <v>99</v>
      </c>
      <c r="E40" s="1"/>
      <c r="F40" s="1"/>
      <c r="G40" s="1"/>
      <c r="H40" s="1"/>
      <c r="M40" s="63">
        <v>15</v>
      </c>
      <c r="N40" s="66" t="s">
        <v>33</v>
      </c>
      <c r="O40" s="1"/>
      <c r="P40" s="8"/>
    </row>
    <row r="41" spans="2:16" x14ac:dyDescent="0.25">
      <c r="B41" s="6"/>
      <c r="C41" s="1"/>
      <c r="D41" s="11" t="s">
        <v>89</v>
      </c>
      <c r="E41" s="1"/>
      <c r="F41" s="1"/>
      <c r="G41" s="1"/>
      <c r="H41" s="1"/>
      <c r="M41" s="63">
        <v>275</v>
      </c>
      <c r="N41" s="1" t="s">
        <v>33</v>
      </c>
      <c r="O41" s="1"/>
      <c r="P41" s="8"/>
    </row>
    <row r="42" spans="2:16" x14ac:dyDescent="0.25">
      <c r="B42" s="6"/>
      <c r="C42" s="1"/>
      <c r="D42" s="11" t="s">
        <v>87</v>
      </c>
      <c r="E42" s="1"/>
      <c r="F42" s="1"/>
      <c r="G42" s="1"/>
      <c r="H42" s="1"/>
      <c r="M42" s="63">
        <v>60</v>
      </c>
      <c r="N42" s="66" t="s">
        <v>85</v>
      </c>
      <c r="O42" s="1"/>
      <c r="P42" s="8"/>
    </row>
    <row r="43" spans="2:16" x14ac:dyDescent="0.25">
      <c r="B43" s="6"/>
      <c r="C43" s="1"/>
      <c r="D43" s="11" t="s">
        <v>88</v>
      </c>
      <c r="E43" s="1"/>
      <c r="F43" s="1"/>
      <c r="G43" s="1"/>
      <c r="H43" s="1"/>
      <c r="M43" s="63">
        <v>20</v>
      </c>
      <c r="N43" s="66" t="s">
        <v>85</v>
      </c>
      <c r="O43" s="1"/>
      <c r="P43" s="8"/>
    </row>
    <row r="44" spans="2:16" x14ac:dyDescent="0.25">
      <c r="B44" s="6"/>
      <c r="C44" s="1"/>
      <c r="D44" s="11" t="s">
        <v>90</v>
      </c>
      <c r="E44" s="1"/>
      <c r="F44" s="1"/>
      <c r="G44" s="1"/>
      <c r="H44" s="1"/>
      <c r="M44" s="63">
        <v>10</v>
      </c>
      <c r="N44" s="66" t="s">
        <v>85</v>
      </c>
      <c r="O44" s="1"/>
      <c r="P44" s="8"/>
    </row>
    <row r="45" spans="2:16" x14ac:dyDescent="0.25">
      <c r="B45" s="6"/>
      <c r="C45" s="1"/>
      <c r="D45" s="11" t="s">
        <v>91</v>
      </c>
      <c r="E45" s="1"/>
      <c r="F45" s="1"/>
      <c r="G45" s="1"/>
      <c r="H45" s="1"/>
      <c r="M45" s="63">
        <v>100</v>
      </c>
      <c r="N45" s="66" t="s">
        <v>85</v>
      </c>
      <c r="O45" s="1"/>
      <c r="P45" s="8"/>
    </row>
    <row r="46" spans="2:16" x14ac:dyDescent="0.25">
      <c r="B46" s="6"/>
      <c r="C46" s="1"/>
      <c r="D46" s="11" t="s">
        <v>92</v>
      </c>
      <c r="E46" s="1"/>
      <c r="F46" s="1"/>
      <c r="G46" s="1"/>
      <c r="H46" s="1"/>
      <c r="M46" s="63">
        <v>30</v>
      </c>
      <c r="N46" s="66" t="s">
        <v>77</v>
      </c>
      <c r="O46" s="1"/>
      <c r="P46" s="8"/>
    </row>
    <row r="47" spans="2:16" x14ac:dyDescent="0.25">
      <c r="B47" s="6"/>
      <c r="C47" s="1"/>
      <c r="D47" s="11" t="s">
        <v>93</v>
      </c>
      <c r="E47" s="1"/>
      <c r="F47" s="1"/>
      <c r="G47" s="1"/>
      <c r="H47" s="1"/>
      <c r="M47" s="63">
        <v>8</v>
      </c>
      <c r="N47" s="66" t="s">
        <v>77</v>
      </c>
      <c r="O47" s="1"/>
      <c r="P47" s="8"/>
    </row>
    <row r="48" spans="2:16" x14ac:dyDescent="0.25">
      <c r="B48" s="6"/>
      <c r="C48" s="1"/>
      <c r="D48" s="11" t="s">
        <v>97</v>
      </c>
      <c r="E48" s="1"/>
      <c r="F48" s="1"/>
      <c r="G48" s="1"/>
      <c r="H48" s="1"/>
      <c r="M48" s="63">
        <v>55</v>
      </c>
      <c r="N48" s="66" t="s">
        <v>33</v>
      </c>
      <c r="O48" s="1"/>
      <c r="P48" s="8"/>
    </row>
    <row r="49" spans="1:16" x14ac:dyDescent="0.25">
      <c r="B49" s="6"/>
      <c r="C49" s="1"/>
      <c r="D49" s="16" t="s">
        <v>94</v>
      </c>
      <c r="E49" s="1"/>
      <c r="F49" s="1"/>
      <c r="G49" s="1"/>
      <c r="H49" s="1"/>
      <c r="M49" s="63">
        <v>2000</v>
      </c>
      <c r="N49" s="66" t="s">
        <v>85</v>
      </c>
      <c r="O49" s="1"/>
      <c r="P49" s="8"/>
    </row>
    <row r="50" spans="1:16" x14ac:dyDescent="0.25">
      <c r="B50" s="6"/>
      <c r="C50" s="1"/>
      <c r="D50" s="67" t="s">
        <v>241</v>
      </c>
      <c r="E50" s="1"/>
      <c r="F50" s="1"/>
      <c r="G50" s="1"/>
      <c r="H50" s="1"/>
      <c r="M50" s="63">
        <v>310</v>
      </c>
      <c r="N50" s="66" t="s">
        <v>33</v>
      </c>
      <c r="O50" s="1"/>
      <c r="P50" s="8"/>
    </row>
    <row r="51" spans="1:16" x14ac:dyDescent="0.25">
      <c r="B51" s="6"/>
      <c r="C51" s="1"/>
      <c r="D51" s="67" t="s">
        <v>240</v>
      </c>
      <c r="E51" s="1"/>
      <c r="F51" s="1"/>
      <c r="G51" s="1"/>
      <c r="H51" s="1"/>
      <c r="M51" s="63">
        <v>560</v>
      </c>
      <c r="N51" s="66" t="s">
        <v>33</v>
      </c>
      <c r="O51" s="1"/>
      <c r="P51" s="8"/>
    </row>
    <row r="52" spans="1:16" x14ac:dyDescent="0.25">
      <c r="B52" s="6"/>
      <c r="C52" s="1"/>
      <c r="D52" s="16" t="s">
        <v>238</v>
      </c>
      <c r="E52" s="1"/>
      <c r="F52" s="1"/>
      <c r="G52" s="1"/>
      <c r="H52" s="1"/>
      <c r="M52" s="63">
        <v>185</v>
      </c>
      <c r="N52" s="66" t="s">
        <v>33</v>
      </c>
      <c r="O52" s="1"/>
      <c r="P52" s="8"/>
    </row>
    <row r="53" spans="1:16" x14ac:dyDescent="0.25">
      <c r="B53" s="6"/>
      <c r="C53" s="1"/>
      <c r="D53" s="16" t="s">
        <v>242</v>
      </c>
      <c r="E53" s="1"/>
      <c r="F53" s="1"/>
      <c r="G53" s="1"/>
      <c r="H53" s="1"/>
      <c r="M53" s="63">
        <v>60</v>
      </c>
      <c r="N53" s="66" t="s">
        <v>33</v>
      </c>
      <c r="O53" s="1"/>
      <c r="P53" s="8"/>
    </row>
    <row r="54" spans="1:16" x14ac:dyDescent="0.25">
      <c r="B54" s="6"/>
      <c r="C54" s="1"/>
      <c r="D54" s="11" t="s">
        <v>95</v>
      </c>
      <c r="E54" s="1"/>
      <c r="F54" s="1"/>
      <c r="G54" s="1"/>
      <c r="H54" s="1"/>
      <c r="M54" s="63">
        <v>75</v>
      </c>
      <c r="N54" s="66" t="s">
        <v>33</v>
      </c>
      <c r="O54" s="1"/>
      <c r="P54" s="8"/>
    </row>
    <row r="55" spans="1:16" x14ac:dyDescent="0.25">
      <c r="B55" s="6"/>
      <c r="C55" s="1"/>
      <c r="D55" s="11" t="s">
        <v>96</v>
      </c>
      <c r="E55" s="1"/>
      <c r="F55" s="1"/>
      <c r="G55" s="1"/>
      <c r="H55" s="1"/>
      <c r="M55" s="63">
        <v>80</v>
      </c>
      <c r="N55" s="66" t="s">
        <v>33</v>
      </c>
      <c r="O55" s="1"/>
      <c r="P55" s="8"/>
    </row>
    <row r="56" spans="1:16" x14ac:dyDescent="0.25">
      <c r="B56" s="6"/>
      <c r="C56" s="1"/>
      <c r="D56" s="11" t="s">
        <v>98</v>
      </c>
      <c r="E56" s="1"/>
      <c r="F56" s="1"/>
      <c r="G56" s="1"/>
      <c r="H56" s="1"/>
      <c r="M56" s="63">
        <v>3</v>
      </c>
      <c r="N56" s="66" t="s">
        <v>34</v>
      </c>
      <c r="O56" s="1"/>
      <c r="P56" s="8"/>
    </row>
    <row r="57" spans="1:16" x14ac:dyDescent="0.25">
      <c r="B57" s="6"/>
      <c r="C57" s="1"/>
      <c r="D57" s="11" t="s">
        <v>101</v>
      </c>
      <c r="E57" s="1"/>
      <c r="F57" s="1"/>
      <c r="G57" s="1"/>
      <c r="H57" s="1"/>
      <c r="M57" s="63">
        <v>1200</v>
      </c>
      <c r="N57" s="66" t="s">
        <v>85</v>
      </c>
      <c r="O57" s="1"/>
      <c r="P57" s="8"/>
    </row>
    <row r="58" spans="1:16" x14ac:dyDescent="0.25">
      <c r="B58" s="6"/>
      <c r="C58" s="1"/>
      <c r="D58" s="11" t="s">
        <v>171</v>
      </c>
      <c r="E58" s="1"/>
      <c r="F58" s="1"/>
      <c r="G58" s="1"/>
      <c r="H58" s="1"/>
      <c r="M58" s="63">
        <v>1200</v>
      </c>
      <c r="N58" s="66" t="s">
        <v>85</v>
      </c>
      <c r="O58" s="1"/>
      <c r="P58" s="8"/>
    </row>
    <row r="59" spans="1:16" x14ac:dyDescent="0.25">
      <c r="B59" s="6"/>
      <c r="C59" s="1"/>
      <c r="D59" s="11" t="s">
        <v>112</v>
      </c>
      <c r="E59" s="1"/>
      <c r="F59" s="1"/>
      <c r="G59" s="1"/>
      <c r="H59" s="1"/>
      <c r="M59" s="63">
        <v>42</v>
      </c>
      <c r="N59" s="66" t="s">
        <v>33</v>
      </c>
      <c r="O59" s="1"/>
      <c r="P59" s="8"/>
    </row>
    <row r="60" spans="1:16" ht="5.0999999999999996" customHeight="1" thickBot="1" x14ac:dyDescent="0.3">
      <c r="B60" s="12"/>
      <c r="C60" s="13"/>
      <c r="D60" s="53"/>
      <c r="E60" s="13"/>
      <c r="F60" s="13"/>
      <c r="G60" s="13"/>
      <c r="H60" s="13"/>
      <c r="I60" s="54"/>
      <c r="J60" s="13"/>
      <c r="K60" s="13"/>
      <c r="L60" s="13"/>
      <c r="M60" s="61"/>
      <c r="N60" s="13"/>
      <c r="O60" s="13"/>
      <c r="P60" s="14"/>
    </row>
    <row r="61" spans="1:16" ht="30" customHeight="1" thickBot="1" x14ac:dyDescent="0.3">
      <c r="D61" s="16"/>
      <c r="G61"/>
      <c r="I61" s="18"/>
    </row>
    <row r="62" spans="1:16" ht="5.0999999999999996" customHeight="1" x14ac:dyDescent="0.25">
      <c r="A62" s="28"/>
      <c r="B62" s="40"/>
      <c r="C62" s="41"/>
      <c r="D62" s="32"/>
      <c r="E62" s="32"/>
      <c r="F62" s="32"/>
      <c r="G62" s="32"/>
      <c r="H62" s="32"/>
      <c r="I62" s="32"/>
      <c r="J62" s="32"/>
      <c r="K62" s="32"/>
      <c r="L62" s="32"/>
      <c r="M62" s="62"/>
      <c r="N62" s="32"/>
      <c r="O62" s="32"/>
      <c r="P62" s="33"/>
    </row>
    <row r="63" spans="1:16" s="1" customFormat="1" x14ac:dyDescent="0.25">
      <c r="A63" s="2"/>
      <c r="B63" s="42"/>
      <c r="C63" s="35" t="s">
        <v>39</v>
      </c>
      <c r="D63" s="36"/>
      <c r="E63" s="36"/>
      <c r="F63" s="36"/>
      <c r="G63" s="36"/>
      <c r="H63" s="36"/>
      <c r="I63" s="36"/>
      <c r="J63" s="36"/>
      <c r="K63" s="36"/>
      <c r="L63" s="36"/>
      <c r="M63" s="29"/>
      <c r="N63" s="36"/>
      <c r="O63" s="36"/>
      <c r="P63" s="37"/>
    </row>
    <row r="64" spans="1:16" ht="15.75" thickBot="1" x14ac:dyDescent="0.3">
      <c r="A64" s="28"/>
      <c r="B64" s="46"/>
      <c r="C64" s="48" t="s">
        <v>56</v>
      </c>
      <c r="D64" s="50" t="s">
        <v>55</v>
      </c>
      <c r="E64" s="49"/>
      <c r="F64" s="38"/>
      <c r="G64" s="38"/>
      <c r="H64" s="38"/>
      <c r="I64" s="50"/>
      <c r="J64" s="48"/>
      <c r="K64" s="38"/>
      <c r="L64" s="48"/>
      <c r="M64" s="50" t="s">
        <v>82</v>
      </c>
      <c r="N64" s="50" t="s">
        <v>53</v>
      </c>
      <c r="O64" s="48"/>
      <c r="P64" s="39"/>
    </row>
    <row r="65" spans="1:16" x14ac:dyDescent="0.25">
      <c r="A65" s="28"/>
      <c r="B65" s="42"/>
      <c r="C65" s="51"/>
      <c r="D65" s="91" t="s">
        <v>7</v>
      </c>
      <c r="E65" s="29"/>
      <c r="F65" s="36"/>
      <c r="G65" s="36"/>
      <c r="H65" s="36"/>
      <c r="I65" s="52"/>
      <c r="J65" s="51"/>
      <c r="K65" s="36"/>
      <c r="L65" s="51"/>
      <c r="M65" s="52"/>
      <c r="N65" s="52"/>
      <c r="O65" s="51"/>
      <c r="P65" s="37"/>
    </row>
    <row r="66" spans="1:16" s="28" customFormat="1" x14ac:dyDescent="0.25">
      <c r="B66" s="42"/>
      <c r="C66" s="47"/>
      <c r="D66" s="45" t="s">
        <v>127</v>
      </c>
      <c r="E66" s="91"/>
      <c r="F66" s="47"/>
      <c r="G66" s="47"/>
      <c r="H66" s="47"/>
      <c r="I66" s="91"/>
      <c r="J66" s="47"/>
      <c r="K66" s="47"/>
      <c r="L66" s="47"/>
      <c r="M66" s="95">
        <v>12</v>
      </c>
      <c r="N66" s="1" t="s">
        <v>34</v>
      </c>
      <c r="O66" s="47"/>
      <c r="P66" s="92"/>
    </row>
    <row r="67" spans="1:16" s="28" customFormat="1" x14ac:dyDescent="0.25">
      <c r="B67" s="42"/>
      <c r="C67" s="47"/>
      <c r="D67" s="45" t="s">
        <v>119</v>
      </c>
      <c r="E67" s="91"/>
      <c r="F67" s="47"/>
      <c r="G67" s="47"/>
      <c r="H67" s="47"/>
      <c r="I67" s="91"/>
      <c r="J67" s="47"/>
      <c r="K67" s="47"/>
      <c r="L67" s="47"/>
      <c r="M67" s="95">
        <v>20</v>
      </c>
      <c r="N67" s="1" t="s">
        <v>34</v>
      </c>
      <c r="O67" s="47"/>
      <c r="P67" s="92"/>
    </row>
    <row r="68" spans="1:16" x14ac:dyDescent="0.25">
      <c r="B68" s="6"/>
      <c r="C68" s="1"/>
      <c r="D68" s="11" t="s">
        <v>120</v>
      </c>
      <c r="E68" s="1"/>
      <c r="F68" s="1"/>
      <c r="G68" s="1"/>
      <c r="H68" s="1"/>
      <c r="I68" s="22"/>
      <c r="J68" s="1"/>
      <c r="K68" s="1"/>
      <c r="L68" s="1"/>
      <c r="M68" s="64">
        <v>35</v>
      </c>
      <c r="N68" s="1" t="s">
        <v>34</v>
      </c>
      <c r="O68" s="1"/>
      <c r="P68" s="8"/>
    </row>
    <row r="69" spans="1:16" x14ac:dyDescent="0.25">
      <c r="B69" s="6"/>
      <c r="C69" s="1"/>
      <c r="D69" s="11" t="s">
        <v>128</v>
      </c>
      <c r="E69" s="1"/>
      <c r="F69" s="1"/>
      <c r="G69" s="1"/>
      <c r="H69" s="1"/>
      <c r="I69" s="22"/>
      <c r="J69" s="1"/>
      <c r="K69" s="1"/>
      <c r="L69" s="1"/>
      <c r="M69" s="64">
        <v>95</v>
      </c>
      <c r="N69" s="1" t="s">
        <v>34</v>
      </c>
      <c r="O69" s="1"/>
      <c r="P69" s="8"/>
    </row>
    <row r="70" spans="1:16" x14ac:dyDescent="0.25">
      <c r="B70" s="6"/>
      <c r="C70" s="1"/>
      <c r="D70" s="11" t="s">
        <v>129</v>
      </c>
      <c r="E70" s="1"/>
      <c r="F70" s="1"/>
      <c r="G70" s="1"/>
      <c r="H70" s="1"/>
      <c r="I70" s="22"/>
      <c r="J70" s="1"/>
      <c r="K70" s="1"/>
      <c r="L70" s="1"/>
      <c r="M70" s="64">
        <v>225</v>
      </c>
      <c r="N70" s="1" t="s">
        <v>34</v>
      </c>
      <c r="O70" s="1"/>
      <c r="P70" s="8"/>
    </row>
    <row r="71" spans="1:16" x14ac:dyDescent="0.25">
      <c r="B71" s="6"/>
      <c r="C71" s="1"/>
      <c r="D71" s="11" t="s">
        <v>147</v>
      </c>
      <c r="E71" s="1"/>
      <c r="F71" s="1"/>
      <c r="G71" s="1"/>
      <c r="H71" s="1"/>
      <c r="I71" s="22"/>
      <c r="J71" s="1"/>
      <c r="K71" s="1"/>
      <c r="L71" s="1"/>
      <c r="M71" s="64">
        <v>87</v>
      </c>
      <c r="N71" s="1" t="s">
        <v>34</v>
      </c>
      <c r="O71" s="1"/>
      <c r="P71" s="8"/>
    </row>
    <row r="72" spans="1:16" x14ac:dyDescent="0.25">
      <c r="B72" s="6"/>
      <c r="C72" s="1"/>
      <c r="D72" s="11" t="s">
        <v>130</v>
      </c>
      <c r="E72" s="1"/>
      <c r="F72" s="1"/>
      <c r="G72" s="1"/>
      <c r="H72" s="1"/>
      <c r="I72" s="22"/>
      <c r="J72" s="1"/>
      <c r="K72" s="1"/>
      <c r="L72" s="1"/>
      <c r="M72" s="64">
        <v>1000</v>
      </c>
      <c r="N72" s="1" t="s">
        <v>114</v>
      </c>
      <c r="O72" s="1"/>
      <c r="P72" s="8"/>
    </row>
    <row r="73" spans="1:16" x14ac:dyDescent="0.25">
      <c r="B73" s="6"/>
      <c r="C73" s="1"/>
      <c r="D73" s="11" t="s">
        <v>146</v>
      </c>
      <c r="E73" s="1"/>
      <c r="F73" s="1"/>
      <c r="G73" s="1"/>
      <c r="H73" s="1"/>
      <c r="I73" s="22"/>
      <c r="J73" s="1"/>
      <c r="K73" s="1"/>
      <c r="L73" s="1"/>
      <c r="M73" s="64">
        <v>2000</v>
      </c>
      <c r="N73" s="1" t="s">
        <v>114</v>
      </c>
      <c r="O73" s="1"/>
      <c r="P73" s="8"/>
    </row>
    <row r="74" spans="1:16" x14ac:dyDescent="0.25">
      <c r="B74" s="6"/>
      <c r="C74" s="1"/>
      <c r="D74" s="11" t="s">
        <v>131</v>
      </c>
      <c r="E74" s="1"/>
      <c r="F74" s="1"/>
      <c r="G74" s="1"/>
      <c r="H74" s="1"/>
      <c r="I74" s="22"/>
      <c r="J74" s="1"/>
      <c r="K74" s="1"/>
      <c r="L74" s="1"/>
      <c r="M74" s="64">
        <v>4000</v>
      </c>
      <c r="N74" s="1" t="s">
        <v>114</v>
      </c>
      <c r="O74" s="1"/>
      <c r="P74" s="8"/>
    </row>
    <row r="75" spans="1:16" x14ac:dyDescent="0.25">
      <c r="B75" s="6"/>
      <c r="C75" s="1"/>
      <c r="D75" s="11" t="s">
        <v>132</v>
      </c>
      <c r="E75" s="1"/>
      <c r="F75" s="1"/>
      <c r="G75" s="1"/>
      <c r="H75" s="1"/>
      <c r="I75" s="22"/>
      <c r="J75" s="1"/>
      <c r="K75" s="1"/>
      <c r="L75" s="1"/>
      <c r="M75" s="64">
        <v>325</v>
      </c>
      <c r="N75" s="66" t="s">
        <v>114</v>
      </c>
      <c r="O75" s="1"/>
      <c r="P75" s="8"/>
    </row>
    <row r="76" spans="1:16" x14ac:dyDescent="0.25">
      <c r="B76" s="6"/>
      <c r="C76" s="1"/>
      <c r="D76" s="11" t="s">
        <v>476</v>
      </c>
      <c r="E76" s="1"/>
      <c r="F76" s="1"/>
      <c r="G76" s="1"/>
      <c r="H76" s="1"/>
      <c r="I76" s="22"/>
      <c r="J76" s="1"/>
      <c r="K76" s="1"/>
      <c r="L76" s="1"/>
      <c r="M76" s="64">
        <v>120</v>
      </c>
      <c r="N76" s="66" t="s">
        <v>114</v>
      </c>
      <c r="O76" s="1"/>
      <c r="P76" s="8"/>
    </row>
    <row r="77" spans="1:16" ht="14.25" customHeight="1" x14ac:dyDescent="0.25">
      <c r="B77" s="6"/>
      <c r="C77" s="1"/>
      <c r="D77" s="11" t="s">
        <v>125</v>
      </c>
      <c r="E77" s="1"/>
      <c r="F77" s="1"/>
      <c r="G77" s="1"/>
      <c r="H77" s="1"/>
      <c r="I77" s="22"/>
      <c r="J77" s="1"/>
      <c r="K77" s="1"/>
      <c r="L77" s="1"/>
      <c r="M77" s="64">
        <v>18</v>
      </c>
      <c r="N77" s="1" t="s">
        <v>81</v>
      </c>
      <c r="O77" s="1"/>
      <c r="P77" s="8"/>
    </row>
    <row r="78" spans="1:16" x14ac:dyDescent="0.25">
      <c r="B78" s="6"/>
      <c r="C78" s="1"/>
      <c r="D78" s="11" t="s">
        <v>136</v>
      </c>
      <c r="E78" s="1"/>
      <c r="F78" s="1"/>
      <c r="G78" s="1"/>
      <c r="H78" s="1"/>
      <c r="I78" s="22"/>
      <c r="J78" s="1"/>
      <c r="K78" s="1"/>
      <c r="L78" s="1"/>
      <c r="M78" s="64">
        <v>25</v>
      </c>
      <c r="N78" s="1" t="s">
        <v>81</v>
      </c>
      <c r="O78" s="1"/>
      <c r="P78" s="8"/>
    </row>
    <row r="79" spans="1:16" x14ac:dyDescent="0.25">
      <c r="B79" s="6"/>
      <c r="C79" s="1"/>
      <c r="D79" s="11" t="s">
        <v>126</v>
      </c>
      <c r="E79" s="1"/>
      <c r="F79" s="1"/>
      <c r="G79" s="1"/>
      <c r="H79" s="1"/>
      <c r="I79" s="22"/>
      <c r="J79" s="1"/>
      <c r="K79" s="1"/>
      <c r="L79" s="1"/>
      <c r="M79" s="64">
        <v>10</v>
      </c>
      <c r="N79" s="1" t="s">
        <v>81</v>
      </c>
      <c r="O79" s="1"/>
      <c r="P79" s="8"/>
    </row>
    <row r="80" spans="1:16" x14ac:dyDescent="0.25">
      <c r="B80" s="6"/>
      <c r="C80" s="1"/>
      <c r="D80" s="11" t="s">
        <v>388</v>
      </c>
      <c r="E80" s="1"/>
      <c r="F80" s="1"/>
      <c r="G80" s="1"/>
      <c r="H80" s="1"/>
      <c r="I80" s="22"/>
      <c r="J80" s="1"/>
      <c r="K80" s="1"/>
      <c r="L80" s="1"/>
      <c r="M80" s="64">
        <v>150</v>
      </c>
      <c r="N80" s="66" t="s">
        <v>34</v>
      </c>
      <c r="O80" s="1"/>
      <c r="P80" s="8"/>
    </row>
    <row r="81" spans="2:16" x14ac:dyDescent="0.25">
      <c r="B81" s="6"/>
      <c r="C81" s="1"/>
      <c r="D81" s="10" t="s">
        <v>165</v>
      </c>
      <c r="E81" s="1"/>
      <c r="F81" s="1"/>
      <c r="G81" s="1"/>
      <c r="H81" s="1"/>
      <c r="I81" s="22"/>
      <c r="J81" s="1"/>
      <c r="K81" s="1"/>
      <c r="L81" s="1"/>
      <c r="M81" s="64"/>
      <c r="N81" s="1"/>
      <c r="O81" s="1"/>
      <c r="P81" s="8"/>
    </row>
    <row r="82" spans="2:16" x14ac:dyDescent="0.25">
      <c r="B82" s="6"/>
      <c r="C82" s="1"/>
      <c r="D82" s="11" t="s">
        <v>303</v>
      </c>
      <c r="E82" s="1"/>
      <c r="F82" s="1"/>
      <c r="G82" s="1"/>
      <c r="H82" s="1"/>
      <c r="I82" s="22"/>
      <c r="J82" s="1"/>
      <c r="K82" s="1"/>
      <c r="L82" s="1"/>
      <c r="M82" s="64">
        <v>6.25</v>
      </c>
      <c r="N82" s="66" t="s">
        <v>164</v>
      </c>
      <c r="O82" s="1"/>
      <c r="P82" s="8"/>
    </row>
    <row r="83" spans="2:16" x14ac:dyDescent="0.25">
      <c r="B83" s="6"/>
      <c r="C83" s="1"/>
      <c r="D83" s="11" t="s">
        <v>40</v>
      </c>
      <c r="E83" s="1"/>
      <c r="F83" s="1"/>
      <c r="G83" s="1"/>
      <c r="H83" s="1"/>
      <c r="I83" s="22"/>
      <c r="J83" s="1"/>
      <c r="K83" s="1"/>
      <c r="L83" s="1"/>
      <c r="M83" s="64">
        <v>5.75</v>
      </c>
      <c r="N83" s="1" t="s">
        <v>164</v>
      </c>
      <c r="O83" s="1"/>
      <c r="P83" s="8"/>
    </row>
    <row r="84" spans="2:16" x14ac:dyDescent="0.25">
      <c r="B84" s="6"/>
      <c r="C84" s="1"/>
      <c r="D84" s="11" t="s">
        <v>41</v>
      </c>
      <c r="E84" s="1"/>
      <c r="F84" s="1"/>
      <c r="G84" s="1"/>
      <c r="H84" s="1"/>
      <c r="I84" s="22"/>
      <c r="J84" s="1"/>
      <c r="K84" s="1"/>
      <c r="L84" s="1"/>
      <c r="M84" s="64">
        <v>5.5</v>
      </c>
      <c r="N84" s="1" t="s">
        <v>164</v>
      </c>
      <c r="O84" s="1"/>
      <c r="P84" s="8"/>
    </row>
    <row r="85" spans="2:16" x14ac:dyDescent="0.25">
      <c r="B85" s="6"/>
      <c r="C85" s="1"/>
      <c r="D85" s="11" t="s">
        <v>211</v>
      </c>
      <c r="E85" s="1"/>
      <c r="F85" s="1"/>
      <c r="G85" s="1"/>
      <c r="H85" s="1"/>
      <c r="I85" s="22"/>
      <c r="J85" s="1"/>
      <c r="K85" s="1"/>
      <c r="L85" s="1"/>
      <c r="M85" s="64">
        <v>7.5</v>
      </c>
      <c r="N85" s="1" t="s">
        <v>164</v>
      </c>
      <c r="O85" s="1"/>
      <c r="P85" s="8"/>
    </row>
    <row r="86" spans="2:16" x14ac:dyDescent="0.25">
      <c r="B86" s="6"/>
      <c r="C86" s="1"/>
      <c r="D86" s="11" t="s">
        <v>106</v>
      </c>
      <c r="E86" s="1"/>
      <c r="F86" s="1"/>
      <c r="G86" s="1"/>
      <c r="H86" s="1"/>
      <c r="I86" s="22"/>
      <c r="J86" s="1"/>
      <c r="K86" s="1"/>
      <c r="L86" s="1"/>
      <c r="M86" s="64">
        <v>8.5</v>
      </c>
      <c r="N86" s="1" t="s">
        <v>164</v>
      </c>
      <c r="O86" s="1"/>
      <c r="P86" s="8"/>
    </row>
    <row r="87" spans="2:16" x14ac:dyDescent="0.25">
      <c r="B87" s="6"/>
      <c r="C87" s="1"/>
      <c r="D87" s="11" t="s">
        <v>105</v>
      </c>
      <c r="E87" s="1"/>
      <c r="F87" s="1"/>
      <c r="G87" s="1"/>
      <c r="H87" s="1"/>
      <c r="I87" s="22"/>
      <c r="J87" s="1"/>
      <c r="K87" s="1"/>
      <c r="L87" s="1"/>
      <c r="M87" s="64">
        <v>50</v>
      </c>
      <c r="N87" s="1" t="s">
        <v>164</v>
      </c>
      <c r="O87" s="1"/>
      <c r="P87" s="8"/>
    </row>
    <row r="88" spans="2:16" x14ac:dyDescent="0.25">
      <c r="B88" s="6"/>
      <c r="C88" s="1"/>
      <c r="D88" s="11" t="s">
        <v>332</v>
      </c>
      <c r="E88" s="1"/>
      <c r="F88" s="1"/>
      <c r="G88" s="1"/>
      <c r="H88" s="1"/>
      <c r="I88" s="22"/>
      <c r="J88" s="1"/>
      <c r="K88" s="1"/>
      <c r="L88" s="1"/>
      <c r="M88" s="64">
        <v>40</v>
      </c>
      <c r="N88" s="1" t="s">
        <v>164</v>
      </c>
      <c r="O88" s="1"/>
      <c r="P88" s="8"/>
    </row>
    <row r="89" spans="2:16" x14ac:dyDescent="0.25">
      <c r="B89" s="6"/>
      <c r="C89" s="1"/>
      <c r="D89" s="11" t="s">
        <v>293</v>
      </c>
      <c r="E89" s="1"/>
      <c r="F89" s="1"/>
      <c r="G89" s="1"/>
      <c r="H89" s="1"/>
      <c r="I89" s="22"/>
      <c r="J89" s="1"/>
      <c r="K89" s="1"/>
      <c r="L89" s="1"/>
      <c r="M89" s="64">
        <v>5.25</v>
      </c>
      <c r="N89" s="1" t="s">
        <v>164</v>
      </c>
      <c r="O89" s="1"/>
      <c r="P89" s="8"/>
    </row>
    <row r="90" spans="2:16" x14ac:dyDescent="0.25">
      <c r="B90" s="6"/>
      <c r="C90" s="1"/>
      <c r="D90" s="11" t="s">
        <v>216</v>
      </c>
      <c r="E90" s="1"/>
      <c r="F90" s="1"/>
      <c r="G90" s="1"/>
      <c r="H90" s="1"/>
      <c r="I90" s="22"/>
      <c r="J90" s="1"/>
      <c r="K90" s="1"/>
      <c r="L90" s="1"/>
      <c r="M90" s="64">
        <v>38</v>
      </c>
      <c r="N90" s="1" t="s">
        <v>164</v>
      </c>
      <c r="O90" s="1"/>
      <c r="P90" s="8"/>
    </row>
    <row r="91" spans="2:16" x14ac:dyDescent="0.25">
      <c r="B91" s="6"/>
      <c r="C91" s="1"/>
      <c r="D91" s="11" t="s">
        <v>124</v>
      </c>
      <c r="E91" s="1"/>
      <c r="F91" s="1"/>
      <c r="G91" s="1"/>
      <c r="H91" s="1"/>
      <c r="I91" s="22"/>
      <c r="J91" s="1"/>
      <c r="K91" s="1"/>
      <c r="L91" s="1"/>
      <c r="M91" s="64">
        <v>3.75</v>
      </c>
      <c r="N91" s="1" t="s">
        <v>164</v>
      </c>
      <c r="O91" s="1"/>
      <c r="P91" s="8"/>
    </row>
    <row r="92" spans="2:16" x14ac:dyDescent="0.25">
      <c r="B92" s="6"/>
      <c r="C92" s="1"/>
      <c r="D92" s="11" t="s">
        <v>123</v>
      </c>
      <c r="E92" s="1"/>
      <c r="F92" s="1"/>
      <c r="G92" s="1"/>
      <c r="H92" s="1"/>
      <c r="I92" s="22"/>
      <c r="J92" s="1"/>
      <c r="K92" s="1"/>
      <c r="L92" s="1"/>
      <c r="M92" s="64">
        <v>6.5</v>
      </c>
      <c r="N92" s="1" t="s">
        <v>164</v>
      </c>
      <c r="O92" s="1"/>
      <c r="P92" s="8"/>
    </row>
    <row r="93" spans="2:16" x14ac:dyDescent="0.25">
      <c r="B93" s="6"/>
      <c r="C93" s="1"/>
      <c r="D93" s="11" t="s">
        <v>115</v>
      </c>
      <c r="E93" s="1"/>
      <c r="F93" s="1"/>
      <c r="G93" s="1"/>
      <c r="H93" s="1"/>
      <c r="I93" s="22"/>
      <c r="J93" s="1"/>
      <c r="K93" s="1"/>
      <c r="L93" s="1"/>
      <c r="M93" s="64">
        <v>25.25</v>
      </c>
      <c r="N93" s="1" t="s">
        <v>164</v>
      </c>
      <c r="O93" s="1"/>
      <c r="P93" s="8"/>
    </row>
    <row r="94" spans="2:16" x14ac:dyDescent="0.25">
      <c r="B94" s="6"/>
      <c r="C94" s="1"/>
      <c r="D94" s="11" t="s">
        <v>152</v>
      </c>
      <c r="E94" s="1"/>
      <c r="F94" s="1"/>
      <c r="G94" s="1"/>
      <c r="H94" s="1"/>
      <c r="I94" s="22"/>
      <c r="J94" s="1"/>
      <c r="K94" s="1"/>
      <c r="L94" s="1"/>
      <c r="M94" s="64">
        <v>5.75</v>
      </c>
      <c r="N94" s="1" t="s">
        <v>164</v>
      </c>
      <c r="O94" s="1"/>
      <c r="P94" s="8"/>
    </row>
    <row r="95" spans="2:16" x14ac:dyDescent="0.25">
      <c r="B95" s="6"/>
      <c r="C95" s="1"/>
      <c r="D95" s="11" t="s">
        <v>173</v>
      </c>
      <c r="E95" s="1"/>
      <c r="F95" s="1"/>
      <c r="G95" s="1"/>
      <c r="H95" s="1"/>
      <c r="I95" s="22"/>
      <c r="J95" s="1"/>
      <c r="K95" s="1"/>
      <c r="L95" s="1"/>
      <c r="M95" s="64">
        <v>57</v>
      </c>
      <c r="N95" s="66" t="s">
        <v>164</v>
      </c>
      <c r="O95" s="1"/>
      <c r="P95" s="8"/>
    </row>
    <row r="96" spans="2:16" x14ac:dyDescent="0.25">
      <c r="B96" s="6"/>
      <c r="C96" s="1"/>
      <c r="D96" s="11" t="s">
        <v>198</v>
      </c>
      <c r="E96" s="1"/>
      <c r="F96" s="1"/>
      <c r="G96" s="1"/>
      <c r="H96" s="1"/>
      <c r="I96" s="22"/>
      <c r="J96" s="1"/>
      <c r="K96" s="1"/>
      <c r="L96" s="1"/>
      <c r="M96" s="64">
        <v>12</v>
      </c>
      <c r="N96" s="66" t="s">
        <v>164</v>
      </c>
      <c r="O96" s="1"/>
      <c r="P96" s="8"/>
    </row>
    <row r="97" spans="2:17" x14ac:dyDescent="0.25">
      <c r="B97" s="6"/>
      <c r="C97" s="1"/>
      <c r="D97" s="11" t="s">
        <v>199</v>
      </c>
      <c r="E97" s="1"/>
      <c r="F97" s="1"/>
      <c r="G97" s="1"/>
      <c r="H97" s="1"/>
      <c r="I97" s="22"/>
      <c r="J97" s="1"/>
      <c r="K97" s="1"/>
      <c r="L97" s="1"/>
      <c r="M97" s="64">
        <v>52</v>
      </c>
      <c r="N97" s="66" t="s">
        <v>164</v>
      </c>
      <c r="O97" s="1"/>
      <c r="P97" s="8"/>
    </row>
    <row r="98" spans="2:17" x14ac:dyDescent="0.25">
      <c r="B98" s="6"/>
      <c r="C98" s="1"/>
      <c r="D98" s="10" t="s">
        <v>166</v>
      </c>
      <c r="E98" s="1"/>
      <c r="F98" s="1"/>
      <c r="G98" s="1"/>
      <c r="H98" s="1"/>
      <c r="I98" s="22"/>
      <c r="J98" s="1"/>
      <c r="K98" s="1"/>
      <c r="L98" s="1"/>
      <c r="M98" s="64"/>
      <c r="N98" s="1"/>
      <c r="O98" s="1"/>
      <c r="P98" s="8"/>
    </row>
    <row r="99" spans="2:17" x14ac:dyDescent="0.25">
      <c r="B99" s="6"/>
      <c r="C99" s="1"/>
      <c r="D99" s="11" t="s">
        <v>205</v>
      </c>
      <c r="E99" s="1"/>
      <c r="F99" s="1"/>
      <c r="G99" s="1"/>
      <c r="H99" s="1"/>
      <c r="I99" s="22"/>
      <c r="J99" s="1"/>
      <c r="K99" s="1"/>
      <c r="L99" s="1"/>
      <c r="M99" s="64">
        <v>250</v>
      </c>
      <c r="N99" s="66" t="s">
        <v>207</v>
      </c>
      <c r="O99" s="1"/>
      <c r="P99" s="8"/>
    </row>
    <row r="100" spans="2:17" x14ac:dyDescent="0.25">
      <c r="B100" s="6"/>
      <c r="C100" s="1"/>
      <c r="D100" s="11" t="s">
        <v>206</v>
      </c>
      <c r="E100" s="1"/>
      <c r="F100" s="1"/>
      <c r="G100" s="1"/>
      <c r="H100" s="1"/>
      <c r="I100" s="22"/>
      <c r="J100" s="1"/>
      <c r="K100" s="1"/>
      <c r="L100" s="1"/>
      <c r="M100" s="64">
        <v>625</v>
      </c>
      <c r="N100" s="66" t="s">
        <v>207</v>
      </c>
      <c r="O100" s="1"/>
      <c r="P100" s="8"/>
    </row>
    <row r="101" spans="2:17" x14ac:dyDescent="0.25">
      <c r="B101" s="6"/>
      <c r="C101" s="1"/>
      <c r="D101" s="11" t="s">
        <v>453</v>
      </c>
      <c r="E101" s="1"/>
      <c r="F101" s="1"/>
      <c r="G101" s="1"/>
      <c r="H101" s="1"/>
      <c r="I101" s="22"/>
      <c r="J101" s="1"/>
      <c r="K101" s="1"/>
      <c r="L101" s="1"/>
      <c r="M101" s="64">
        <v>270</v>
      </c>
      <c r="N101" s="66" t="s">
        <v>207</v>
      </c>
      <c r="O101" s="1"/>
      <c r="P101" s="8"/>
    </row>
    <row r="102" spans="2:17" x14ac:dyDescent="0.25">
      <c r="B102" s="6"/>
      <c r="C102" s="1"/>
      <c r="D102" s="11" t="s">
        <v>454</v>
      </c>
      <c r="E102" s="1"/>
      <c r="F102" s="1"/>
      <c r="G102" s="1"/>
      <c r="H102" s="1"/>
      <c r="I102" s="22"/>
      <c r="J102" s="1"/>
      <c r="K102" s="1"/>
      <c r="L102" s="1"/>
      <c r="M102" s="64">
        <v>675</v>
      </c>
      <c r="N102" s="66" t="s">
        <v>207</v>
      </c>
      <c r="O102" s="1"/>
      <c r="P102" s="8"/>
    </row>
    <row r="103" spans="2:17" x14ac:dyDescent="0.25">
      <c r="B103" s="6"/>
      <c r="C103" s="1"/>
      <c r="D103" s="11" t="s">
        <v>455</v>
      </c>
      <c r="E103" s="1"/>
      <c r="F103" s="1"/>
      <c r="G103" s="1"/>
      <c r="H103" s="1"/>
      <c r="I103" s="22"/>
      <c r="J103" s="1"/>
      <c r="K103" s="1"/>
      <c r="L103" s="1"/>
      <c r="M103" s="64">
        <v>288</v>
      </c>
      <c r="N103" s="66" t="s">
        <v>207</v>
      </c>
      <c r="O103" s="1"/>
      <c r="P103" s="8"/>
    </row>
    <row r="104" spans="2:17" x14ac:dyDescent="0.25">
      <c r="B104" s="6"/>
      <c r="C104" s="1"/>
      <c r="D104" s="11" t="s">
        <v>456</v>
      </c>
      <c r="E104" s="1"/>
      <c r="F104" s="1"/>
      <c r="G104" s="1"/>
      <c r="H104" s="1"/>
      <c r="I104" s="22"/>
      <c r="J104" s="1"/>
      <c r="K104" s="1"/>
      <c r="L104" s="1"/>
      <c r="M104" s="64">
        <v>630</v>
      </c>
      <c r="N104" s="66" t="s">
        <v>207</v>
      </c>
      <c r="O104" s="1"/>
      <c r="P104" s="8"/>
    </row>
    <row r="105" spans="2:17" x14ac:dyDescent="0.25">
      <c r="B105" s="6"/>
      <c r="C105" s="1"/>
      <c r="D105" s="11" t="s">
        <v>457</v>
      </c>
      <c r="E105" s="1"/>
      <c r="F105" s="1"/>
      <c r="G105" s="1"/>
      <c r="H105" s="1"/>
      <c r="I105" s="22"/>
      <c r="J105" s="1"/>
      <c r="K105" s="1"/>
      <c r="L105" s="1"/>
      <c r="M105" s="64">
        <v>289</v>
      </c>
      <c r="N105" s="66" t="s">
        <v>207</v>
      </c>
      <c r="O105" s="1"/>
      <c r="P105" s="8"/>
    </row>
    <row r="106" spans="2:17" x14ac:dyDescent="0.25">
      <c r="B106" s="6"/>
      <c r="C106" s="1"/>
      <c r="D106" s="11" t="s">
        <v>224</v>
      </c>
      <c r="E106" s="1"/>
      <c r="F106" s="1"/>
      <c r="G106" s="1"/>
      <c r="H106" s="1"/>
      <c r="I106" s="22"/>
      <c r="J106" s="1"/>
      <c r="K106" s="1"/>
      <c r="L106" s="1"/>
      <c r="M106" s="64">
        <v>535</v>
      </c>
      <c r="N106" s="66" t="s">
        <v>207</v>
      </c>
      <c r="O106" s="1"/>
      <c r="P106" s="8"/>
    </row>
    <row r="107" spans="2:17" x14ac:dyDescent="0.25">
      <c r="B107" s="6"/>
      <c r="C107" s="1"/>
      <c r="D107" s="11" t="s">
        <v>264</v>
      </c>
      <c r="E107" s="1"/>
      <c r="F107" s="1"/>
      <c r="G107" s="1"/>
      <c r="H107" s="1"/>
      <c r="I107" s="22"/>
      <c r="J107" s="1"/>
      <c r="K107" s="1"/>
      <c r="L107" s="1"/>
      <c r="M107" s="64">
        <v>9.25</v>
      </c>
      <c r="N107" s="66" t="s">
        <v>260</v>
      </c>
      <c r="O107" s="113"/>
      <c r="P107" s="8"/>
      <c r="Q107" t="s">
        <v>269</v>
      </c>
    </row>
    <row r="108" spans="2:17" x14ac:dyDescent="0.25">
      <c r="B108" s="6"/>
      <c r="C108" s="1"/>
      <c r="D108" s="11" t="s">
        <v>407</v>
      </c>
      <c r="E108" s="1"/>
      <c r="F108" s="1"/>
      <c r="G108" s="1"/>
      <c r="H108" s="1"/>
      <c r="I108" s="22"/>
      <c r="J108" s="1"/>
      <c r="K108" s="1"/>
      <c r="L108" s="1"/>
      <c r="M108" s="64">
        <v>6.5</v>
      </c>
      <c r="N108" s="66" t="s">
        <v>260</v>
      </c>
      <c r="O108" s="113"/>
      <c r="P108" s="8"/>
      <c r="Q108" t="s">
        <v>271</v>
      </c>
    </row>
    <row r="109" spans="2:17" x14ac:dyDescent="0.25">
      <c r="B109" s="6"/>
      <c r="C109" s="1"/>
      <c r="D109" s="11" t="s">
        <v>265</v>
      </c>
      <c r="E109" s="1"/>
      <c r="F109" s="1"/>
      <c r="G109" s="1"/>
      <c r="H109" s="1"/>
      <c r="I109" s="22"/>
      <c r="J109" s="1"/>
      <c r="K109" s="1"/>
      <c r="L109" s="1"/>
      <c r="M109" s="64">
        <v>11.75</v>
      </c>
      <c r="N109" s="66" t="s">
        <v>260</v>
      </c>
      <c r="O109" s="1"/>
      <c r="P109" s="8"/>
      <c r="Q109" t="s">
        <v>269</v>
      </c>
    </row>
    <row r="110" spans="2:17" x14ac:dyDescent="0.25">
      <c r="B110" s="6"/>
      <c r="C110" s="1"/>
      <c r="D110" s="11" t="s">
        <v>266</v>
      </c>
      <c r="E110" s="1"/>
      <c r="F110" s="1"/>
      <c r="G110" s="1"/>
      <c r="H110" s="1"/>
      <c r="I110" s="22"/>
      <c r="J110" s="1"/>
      <c r="K110" s="1"/>
      <c r="L110" s="1"/>
      <c r="M110" s="64">
        <v>10</v>
      </c>
      <c r="N110" s="66" t="s">
        <v>260</v>
      </c>
      <c r="O110" s="1"/>
      <c r="P110" s="8"/>
      <c r="Q110" t="s">
        <v>271</v>
      </c>
    </row>
    <row r="111" spans="2:17" x14ac:dyDescent="0.25">
      <c r="B111" s="6"/>
      <c r="C111" s="1"/>
      <c r="D111" s="11" t="s">
        <v>267</v>
      </c>
      <c r="E111" s="1"/>
      <c r="F111" s="1"/>
      <c r="G111" s="1"/>
      <c r="H111" s="1"/>
      <c r="I111" s="22"/>
      <c r="J111" s="1"/>
      <c r="K111" s="1"/>
      <c r="L111" s="1"/>
      <c r="M111" s="64">
        <v>14.5</v>
      </c>
      <c r="N111" s="66" t="s">
        <v>260</v>
      </c>
      <c r="O111" s="1"/>
      <c r="P111" s="8"/>
      <c r="Q111" t="s">
        <v>269</v>
      </c>
    </row>
    <row r="112" spans="2:17" x14ac:dyDescent="0.25">
      <c r="B112" s="6"/>
      <c r="C112" s="1"/>
      <c r="D112" s="11" t="s">
        <v>268</v>
      </c>
      <c r="E112" s="1"/>
      <c r="F112" s="1"/>
      <c r="G112" s="1"/>
      <c r="H112" s="1"/>
      <c r="I112" s="22"/>
      <c r="J112" s="1"/>
      <c r="K112" s="1"/>
      <c r="L112" s="1"/>
      <c r="M112" s="64">
        <v>16</v>
      </c>
      <c r="N112" s="66" t="s">
        <v>260</v>
      </c>
      <c r="O112" s="1"/>
      <c r="P112" s="8"/>
      <c r="Q112" t="s">
        <v>271</v>
      </c>
    </row>
    <row r="113" spans="2:16" x14ac:dyDescent="0.25">
      <c r="B113" s="6"/>
      <c r="C113" s="1"/>
      <c r="D113" s="11" t="s">
        <v>218</v>
      </c>
      <c r="E113" s="1"/>
      <c r="F113" s="1"/>
      <c r="G113" s="1"/>
      <c r="H113" s="1"/>
      <c r="I113" s="22"/>
      <c r="J113" s="1"/>
      <c r="K113" s="1"/>
      <c r="L113" s="1"/>
      <c r="M113" s="64">
        <v>3.75</v>
      </c>
      <c r="N113" s="1" t="s">
        <v>114</v>
      </c>
      <c r="O113" s="1"/>
      <c r="P113" s="8"/>
    </row>
    <row r="114" spans="2:16" x14ac:dyDescent="0.25">
      <c r="B114" s="6"/>
      <c r="C114" s="1"/>
      <c r="D114" s="11" t="s">
        <v>219</v>
      </c>
      <c r="E114" s="1"/>
      <c r="F114" s="1"/>
      <c r="G114" s="1"/>
      <c r="H114" s="1"/>
      <c r="I114" s="22"/>
      <c r="J114" s="1"/>
      <c r="K114" s="1"/>
      <c r="L114" s="1"/>
      <c r="M114" s="64">
        <v>10</v>
      </c>
      <c r="N114" s="1" t="s">
        <v>114</v>
      </c>
      <c r="O114" s="1"/>
      <c r="P114" s="8"/>
    </row>
    <row r="115" spans="2:16" x14ac:dyDescent="0.25">
      <c r="B115" s="6"/>
      <c r="C115" s="1"/>
      <c r="D115" s="11" t="s">
        <v>273</v>
      </c>
      <c r="E115" s="1"/>
      <c r="F115" s="1"/>
      <c r="G115" s="1"/>
      <c r="H115" s="1"/>
      <c r="I115" s="22"/>
      <c r="J115" s="1"/>
      <c r="K115" s="1"/>
      <c r="L115" s="1"/>
      <c r="M115" s="64">
        <v>12</v>
      </c>
      <c r="N115" s="66" t="s">
        <v>114</v>
      </c>
      <c r="O115" s="1"/>
      <c r="P115" s="8"/>
    </row>
    <row r="116" spans="2:16" x14ac:dyDescent="0.25">
      <c r="B116" s="6"/>
      <c r="C116" s="1"/>
      <c r="D116" s="11" t="s">
        <v>228</v>
      </c>
      <c r="E116" s="1"/>
      <c r="F116" s="1"/>
      <c r="G116" s="1"/>
      <c r="H116" s="1"/>
      <c r="I116" s="22"/>
      <c r="J116" s="1"/>
      <c r="K116" s="1"/>
      <c r="L116" s="1"/>
      <c r="M116" s="64">
        <v>45</v>
      </c>
      <c r="N116" s="66" t="s">
        <v>164</v>
      </c>
      <c r="O116" s="1"/>
      <c r="P116" s="8"/>
    </row>
    <row r="117" spans="2:16" x14ac:dyDescent="0.25">
      <c r="B117" s="6"/>
      <c r="C117" s="1"/>
      <c r="D117" s="11" t="s">
        <v>229</v>
      </c>
      <c r="E117" s="1"/>
      <c r="F117" s="1"/>
      <c r="G117" s="1"/>
      <c r="H117" s="1"/>
      <c r="I117" s="22"/>
      <c r="J117" s="1"/>
      <c r="K117" s="1"/>
      <c r="L117" s="1"/>
      <c r="M117" s="64">
        <v>50</v>
      </c>
      <c r="N117" s="66" t="s">
        <v>164</v>
      </c>
      <c r="O117" s="1"/>
      <c r="P117" s="8"/>
    </row>
    <row r="118" spans="2:16" x14ac:dyDescent="0.25">
      <c r="B118" s="6"/>
      <c r="C118" s="1"/>
      <c r="D118" s="11" t="s">
        <v>230</v>
      </c>
      <c r="E118" s="1"/>
      <c r="F118" s="1"/>
      <c r="G118" s="1"/>
      <c r="H118" s="1"/>
      <c r="I118" s="22"/>
      <c r="J118" s="1"/>
      <c r="K118" s="1"/>
      <c r="L118" s="1"/>
      <c r="M118" s="64">
        <v>55</v>
      </c>
      <c r="N118" s="66" t="s">
        <v>164</v>
      </c>
      <c r="O118" s="1"/>
      <c r="P118" s="8"/>
    </row>
    <row r="119" spans="2:16" x14ac:dyDescent="0.25">
      <c r="B119" s="6"/>
      <c r="C119" s="1"/>
      <c r="D119" s="11" t="s">
        <v>231</v>
      </c>
      <c r="E119" s="1"/>
      <c r="F119" s="1"/>
      <c r="G119" s="1"/>
      <c r="H119" s="1"/>
      <c r="I119" s="22"/>
      <c r="J119" s="1"/>
      <c r="K119" s="1"/>
      <c r="L119" s="1"/>
      <c r="M119" s="64">
        <v>190</v>
      </c>
      <c r="N119" s="66" t="s">
        <v>164</v>
      </c>
      <c r="O119" s="1"/>
      <c r="P119" s="8"/>
    </row>
    <row r="120" spans="2:16" x14ac:dyDescent="0.25">
      <c r="B120" s="6"/>
      <c r="C120" s="1"/>
      <c r="D120" s="11" t="s">
        <v>232</v>
      </c>
      <c r="E120" s="1"/>
      <c r="F120" s="1"/>
      <c r="G120" s="1"/>
      <c r="H120" s="1"/>
      <c r="I120" s="22"/>
      <c r="J120" s="1"/>
      <c r="K120" s="1"/>
      <c r="L120" s="1"/>
      <c r="M120" s="64">
        <v>310</v>
      </c>
      <c r="N120" s="66" t="s">
        <v>164</v>
      </c>
      <c r="O120" s="1"/>
      <c r="P120" s="8"/>
    </row>
    <row r="121" spans="2:16" x14ac:dyDescent="0.25">
      <c r="B121" s="6"/>
      <c r="C121" s="1"/>
      <c r="D121" s="10" t="s">
        <v>256</v>
      </c>
      <c r="E121" s="1"/>
      <c r="F121" s="1"/>
      <c r="G121" s="1"/>
      <c r="H121" s="1"/>
      <c r="I121" s="22"/>
      <c r="J121" s="1"/>
      <c r="K121" s="1"/>
      <c r="L121" s="1"/>
      <c r="M121" s="64"/>
      <c r="N121" s="1"/>
      <c r="O121" s="1"/>
      <c r="P121" s="8"/>
    </row>
    <row r="122" spans="2:16" x14ac:dyDescent="0.25">
      <c r="B122" s="6"/>
      <c r="C122" s="1"/>
      <c r="D122" s="11" t="s">
        <v>259</v>
      </c>
      <c r="E122" s="1"/>
      <c r="F122" s="1"/>
      <c r="G122" s="1"/>
      <c r="H122" s="1"/>
      <c r="I122" s="22"/>
      <c r="J122" s="1"/>
      <c r="K122" s="1"/>
      <c r="L122" s="1"/>
      <c r="M122" s="64">
        <v>2000</v>
      </c>
      <c r="N122" s="66" t="s">
        <v>258</v>
      </c>
      <c r="O122" s="1"/>
      <c r="P122" s="8"/>
    </row>
    <row r="123" spans="2:16" x14ac:dyDescent="0.25">
      <c r="B123" s="6"/>
      <c r="C123" s="1"/>
      <c r="D123" s="11" t="s">
        <v>257</v>
      </c>
      <c r="E123" s="1"/>
      <c r="F123" s="1"/>
      <c r="G123" s="1"/>
      <c r="H123" s="1"/>
      <c r="I123" s="22"/>
      <c r="J123" s="1"/>
      <c r="K123" s="1"/>
      <c r="L123" s="1"/>
      <c r="M123" s="64">
        <v>45</v>
      </c>
      <c r="N123" s="66" t="s">
        <v>260</v>
      </c>
      <c r="O123" s="1"/>
      <c r="P123" s="8"/>
    </row>
    <row r="124" spans="2:16" x14ac:dyDescent="0.25">
      <c r="B124" s="6"/>
      <c r="C124" s="1"/>
      <c r="D124" s="10" t="s">
        <v>151</v>
      </c>
      <c r="E124" s="1"/>
      <c r="F124" s="1"/>
      <c r="G124" s="1"/>
      <c r="H124" s="1"/>
      <c r="I124" s="22"/>
      <c r="J124" s="1"/>
      <c r="K124" s="1"/>
      <c r="L124" s="1"/>
      <c r="M124" s="64"/>
      <c r="N124" s="1"/>
      <c r="O124" s="1"/>
      <c r="P124" s="8"/>
    </row>
    <row r="125" spans="2:16" x14ac:dyDescent="0.25">
      <c r="B125" s="6"/>
      <c r="C125" s="1"/>
      <c r="D125" s="11" t="s">
        <v>113</v>
      </c>
      <c r="E125" s="1"/>
      <c r="F125" s="1"/>
      <c r="G125" s="1"/>
      <c r="H125" s="1"/>
      <c r="I125" s="22"/>
      <c r="J125" s="1"/>
      <c r="K125" s="1"/>
      <c r="L125" s="1"/>
      <c r="M125" s="64">
        <v>10</v>
      </c>
      <c r="N125" s="66" t="s">
        <v>114</v>
      </c>
      <c r="O125" s="1"/>
      <c r="P125" s="8"/>
    </row>
    <row r="126" spans="2:16" x14ac:dyDescent="0.25">
      <c r="B126" s="6"/>
      <c r="C126" s="1"/>
      <c r="D126" s="11" t="s">
        <v>116</v>
      </c>
      <c r="E126" s="1"/>
      <c r="F126" s="1"/>
      <c r="G126" s="1"/>
      <c r="H126" s="1"/>
      <c r="I126" s="22"/>
      <c r="J126" s="1"/>
      <c r="K126" s="1"/>
      <c r="L126" s="1"/>
      <c r="M126" s="64">
        <v>7</v>
      </c>
      <c r="N126" s="66" t="s">
        <v>114</v>
      </c>
      <c r="O126" s="1"/>
      <c r="P126" s="8"/>
    </row>
    <row r="127" spans="2:16" x14ac:dyDescent="0.25">
      <c r="B127" s="6"/>
      <c r="C127" s="1"/>
      <c r="D127" s="11" t="s">
        <v>117</v>
      </c>
      <c r="E127" s="1"/>
      <c r="F127" s="1"/>
      <c r="G127" s="1"/>
      <c r="H127" s="1"/>
      <c r="I127" s="22"/>
      <c r="J127" s="1"/>
      <c r="K127" s="1"/>
      <c r="L127" s="1"/>
      <c r="M127" s="64">
        <v>12</v>
      </c>
      <c r="N127" s="66" t="s">
        <v>114</v>
      </c>
      <c r="O127" s="1"/>
      <c r="P127" s="8"/>
    </row>
    <row r="128" spans="2:16" x14ac:dyDescent="0.25">
      <c r="B128" s="6"/>
      <c r="C128" s="1"/>
      <c r="D128" s="11" t="s">
        <v>441</v>
      </c>
      <c r="E128" s="1"/>
      <c r="F128" s="1"/>
      <c r="G128" s="1"/>
      <c r="H128" s="1"/>
      <c r="I128" s="22"/>
      <c r="J128" s="1"/>
      <c r="K128" s="1"/>
      <c r="L128" s="1"/>
      <c r="M128" s="64">
        <v>300</v>
      </c>
      <c r="N128" s="66" t="s">
        <v>114</v>
      </c>
      <c r="O128" s="1"/>
      <c r="P128" s="8"/>
    </row>
    <row r="129" spans="2:16" x14ac:dyDescent="0.25">
      <c r="B129" s="6"/>
      <c r="C129" s="1"/>
      <c r="D129" s="11" t="s">
        <v>461</v>
      </c>
      <c r="E129" s="1"/>
      <c r="F129" s="1"/>
      <c r="G129" s="1"/>
      <c r="H129" s="1"/>
      <c r="I129" s="22"/>
      <c r="J129" s="1"/>
      <c r="K129" s="1"/>
      <c r="L129" s="1"/>
      <c r="M129" s="64">
        <v>50</v>
      </c>
      <c r="N129" s="66" t="s">
        <v>114</v>
      </c>
      <c r="O129" s="1"/>
      <c r="P129" s="8"/>
    </row>
    <row r="130" spans="2:16" x14ac:dyDescent="0.25">
      <c r="B130" s="6"/>
      <c r="C130" s="1"/>
      <c r="D130" s="10" t="s">
        <v>313</v>
      </c>
      <c r="E130" s="1"/>
      <c r="F130" s="1"/>
      <c r="G130" s="1"/>
      <c r="H130" s="1"/>
      <c r="I130" s="22"/>
      <c r="J130" s="1"/>
      <c r="K130" s="1"/>
      <c r="L130" s="1"/>
      <c r="M130" s="64"/>
      <c r="N130" s="66"/>
      <c r="O130" s="1"/>
      <c r="P130" s="8"/>
    </row>
    <row r="131" spans="2:16" x14ac:dyDescent="0.25">
      <c r="B131" s="6"/>
      <c r="C131" s="1"/>
      <c r="D131" s="11" t="s">
        <v>314</v>
      </c>
      <c r="E131" s="1"/>
      <c r="F131" s="1"/>
      <c r="G131" s="1"/>
      <c r="H131" s="1"/>
      <c r="I131" s="22"/>
      <c r="J131" s="1"/>
      <c r="K131" s="1"/>
      <c r="L131" s="1"/>
      <c r="M131" s="64">
        <v>40</v>
      </c>
      <c r="N131" s="66" t="s">
        <v>164</v>
      </c>
      <c r="O131" s="1"/>
      <c r="P131" s="8"/>
    </row>
    <row r="132" spans="2:16" x14ac:dyDescent="0.25">
      <c r="B132" s="6"/>
      <c r="C132" s="1"/>
      <c r="D132" s="11" t="s">
        <v>321</v>
      </c>
      <c r="E132" s="1"/>
      <c r="F132" s="1"/>
      <c r="G132" s="1"/>
      <c r="H132" s="1"/>
      <c r="I132" s="22"/>
      <c r="J132" s="1"/>
      <c r="K132" s="1"/>
      <c r="L132" s="1"/>
      <c r="M132" s="64">
        <v>2</v>
      </c>
      <c r="N132" s="66" t="s">
        <v>260</v>
      </c>
      <c r="O132" s="1"/>
      <c r="P132" s="8"/>
    </row>
    <row r="133" spans="2:16" x14ac:dyDescent="0.25">
      <c r="B133" s="6"/>
      <c r="C133" s="1"/>
      <c r="D133" s="11" t="s">
        <v>330</v>
      </c>
      <c r="E133" s="1"/>
      <c r="F133" s="1"/>
      <c r="G133" s="1"/>
      <c r="H133" s="1"/>
      <c r="I133" s="22"/>
      <c r="J133" s="1"/>
      <c r="K133" s="1"/>
      <c r="L133" s="1"/>
      <c r="M133" s="64">
        <v>100</v>
      </c>
      <c r="N133" s="66" t="s">
        <v>114</v>
      </c>
      <c r="O133" s="1"/>
      <c r="P133" s="8"/>
    </row>
    <row r="134" spans="2:16" ht="5.0999999999999996" customHeight="1" thickBot="1" x14ac:dyDescent="0.3">
      <c r="B134" s="12"/>
      <c r="C134" s="13"/>
      <c r="D134" s="53"/>
      <c r="E134" s="13"/>
      <c r="F134" s="13"/>
      <c r="G134" s="13"/>
      <c r="H134" s="13"/>
      <c r="I134" s="56"/>
      <c r="J134" s="13"/>
      <c r="K134" s="13"/>
      <c r="L134" s="13"/>
      <c r="M134" s="65"/>
      <c r="N134" s="123"/>
      <c r="O134" s="13"/>
      <c r="P134" s="14"/>
    </row>
    <row r="135" spans="2:16" s="1" customFormat="1" ht="30" customHeight="1" x14ac:dyDescent="0.25">
      <c r="D135" s="11"/>
      <c r="I135" s="22"/>
      <c r="M135" s="64"/>
      <c r="N135" s="66"/>
    </row>
  </sheetData>
  <sheetProtection selectLockedCells="1" selectUnlockedCells="1"/>
  <mergeCells count="1">
    <mergeCell ref="D6:E6"/>
  </mergeCells>
  <phoneticPr fontId="0" type="noConversion"/>
  <printOptions horizontalCentered="1"/>
  <pageMargins left="0.78740157480314965" right="0.59055118110236227" top="0.98425196850393704" bottom="0.98425196850393704" header="0.51181102362204722" footer="0.51181102362204722"/>
  <pageSetup paperSize="9" scale="85" orientation="portrait" r:id="rId1"/>
  <headerFooter alignWithMargins="0">
    <oddFooter>&amp;L&amp;G
projectnummer: 0509&amp;Rconcept: 11 april 2007
blad &amp;P van &amp;N</oddFooter>
  </headerFooter>
  <rowBreaks count="2" manualBreakCount="2">
    <brk id="60" min="1" max="15" man="1"/>
    <brk id="115" min="1" max="15" man="1"/>
  </rowBreaks>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B1:M24"/>
  <sheetViews>
    <sheetView showGridLines="0" topLeftCell="A4" workbookViewId="0">
      <selection activeCell="H17" sqref="H17"/>
    </sheetView>
  </sheetViews>
  <sheetFormatPr defaultRowHeight="15" x14ac:dyDescent="0.25"/>
  <cols>
    <col min="1" max="1" width="2.42578125" customWidth="1"/>
    <col min="2" max="2" width="3.85546875" customWidth="1"/>
    <col min="3" max="3" width="6.7109375" bestFit="1" customWidth="1"/>
    <col min="4" max="4" width="25.140625" customWidth="1"/>
    <col min="5" max="5" width="6.7109375" bestFit="1" customWidth="1"/>
    <col min="6" max="8" width="14.7109375" customWidth="1"/>
    <col min="9" max="10" width="12.7109375" customWidth="1"/>
    <col min="11" max="11" width="12.7109375" style="21" customWidth="1"/>
    <col min="12" max="13" width="12.7109375" customWidth="1"/>
  </cols>
  <sheetData>
    <row r="1" spans="2:13" ht="15.75" thickBot="1" x14ac:dyDescent="0.3"/>
    <row r="2" spans="2:13" ht="5.0999999999999996" customHeight="1" x14ac:dyDescent="0.25">
      <c r="B2" s="3"/>
      <c r="C2" s="4"/>
      <c r="D2" s="4"/>
      <c r="E2" s="4"/>
      <c r="F2" s="4"/>
      <c r="G2" s="4"/>
      <c r="H2" s="4"/>
      <c r="I2" s="4"/>
      <c r="J2" s="4"/>
      <c r="K2" s="4"/>
      <c r="L2" s="4"/>
      <c r="M2" s="5"/>
    </row>
    <row r="3" spans="2:13" ht="18.75" x14ac:dyDescent="0.3">
      <c r="B3" s="6"/>
      <c r="C3" s="116" t="s">
        <v>495</v>
      </c>
      <c r="D3" s="116"/>
      <c r="E3" s="116"/>
      <c r="F3" s="116"/>
      <c r="G3" s="116"/>
      <c r="K3"/>
      <c r="M3" s="8"/>
    </row>
    <row r="4" spans="2:13" x14ac:dyDescent="0.25">
      <c r="B4" s="6"/>
      <c r="C4" s="28" t="s">
        <v>27</v>
      </c>
      <c r="D4" s="28"/>
      <c r="E4" s="28"/>
      <c r="F4" s="28"/>
      <c r="G4" s="28"/>
      <c r="H4" s="28"/>
      <c r="K4"/>
      <c r="M4" s="8"/>
    </row>
    <row r="5" spans="2:13" ht="18.75" x14ac:dyDescent="0.3">
      <c r="B5" s="6"/>
      <c r="C5" s="116"/>
      <c r="K5"/>
      <c r="M5" s="8"/>
    </row>
    <row r="6" spans="2:13" x14ac:dyDescent="0.25">
      <c r="B6" s="6"/>
      <c r="C6" s="300" t="s">
        <v>1</v>
      </c>
      <c r="D6" s="440">
        <f>Samenvatting!E6</f>
        <v>43186</v>
      </c>
      <c r="E6" s="440">
        <v>0</v>
      </c>
      <c r="K6"/>
      <c r="M6" s="8"/>
    </row>
    <row r="7" spans="2:13" x14ac:dyDescent="0.25">
      <c r="B7" s="6"/>
      <c r="C7" s="301" t="s">
        <v>26</v>
      </c>
      <c r="D7" s="302">
        <f>Samenvatting!E7</f>
        <v>0</v>
      </c>
      <c r="E7" s="302"/>
      <c r="K7"/>
      <c r="M7" s="8"/>
    </row>
    <row r="8" spans="2:13" ht="5.0999999999999996" customHeight="1" thickBot="1" x14ac:dyDescent="0.3">
      <c r="B8" s="12"/>
      <c r="C8" s="15"/>
      <c r="D8" s="13"/>
      <c r="E8" s="13"/>
      <c r="F8" s="13"/>
      <c r="G8" s="13"/>
      <c r="H8" s="13"/>
      <c r="I8" s="13"/>
      <c r="J8" s="13"/>
      <c r="K8" s="13"/>
      <c r="L8" s="13"/>
      <c r="M8" s="14"/>
    </row>
    <row r="9" spans="2:13" ht="15.75" thickBot="1" x14ac:dyDescent="0.3"/>
    <row r="10" spans="2:13" ht="30" x14ac:dyDescent="0.25">
      <c r="B10" s="442" t="s">
        <v>43</v>
      </c>
      <c r="C10" s="443"/>
      <c r="D10" s="444"/>
      <c r="E10" s="26" t="s">
        <v>51</v>
      </c>
      <c r="F10" s="317" t="s">
        <v>49</v>
      </c>
      <c r="G10" s="318" t="s">
        <v>47</v>
      </c>
      <c r="H10" s="319" t="s">
        <v>48</v>
      </c>
      <c r="I10" s="310" t="s">
        <v>492</v>
      </c>
      <c r="J10" s="322" t="s">
        <v>46</v>
      </c>
      <c r="K10" s="323"/>
      <c r="L10" s="322" t="s">
        <v>19</v>
      </c>
      <c r="M10" s="323"/>
    </row>
    <row r="11" spans="2:13" ht="15.75" thickBot="1" x14ac:dyDescent="0.3">
      <c r="B11" s="12"/>
      <c r="C11" s="13"/>
      <c r="D11" s="14"/>
      <c r="E11" s="12"/>
      <c r="F11" s="320"/>
      <c r="G11" s="321"/>
      <c r="H11" s="311"/>
      <c r="I11" s="307" t="s">
        <v>491</v>
      </c>
      <c r="J11" s="308" t="s">
        <v>19</v>
      </c>
      <c r="K11" s="309" t="s">
        <v>50</v>
      </c>
      <c r="L11" s="308" t="s">
        <v>19</v>
      </c>
      <c r="M11" s="309" t="s">
        <v>50</v>
      </c>
    </row>
    <row r="12" spans="2:13" x14ac:dyDescent="0.25">
      <c r="B12" s="6" t="s">
        <v>44</v>
      </c>
      <c r="C12" s="1"/>
      <c r="D12" s="8"/>
      <c r="E12" s="316"/>
      <c r="F12" s="24"/>
      <c r="G12" s="313"/>
      <c r="H12" s="23"/>
      <c r="I12" s="314"/>
      <c r="J12" s="24"/>
      <c r="K12" s="25"/>
      <c r="L12" s="24"/>
      <c r="M12" s="23"/>
    </row>
    <row r="13" spans="2:13" x14ac:dyDescent="0.25">
      <c r="B13" s="27" t="s">
        <v>45</v>
      </c>
      <c r="C13" s="11"/>
      <c r="D13" s="312"/>
      <c r="E13" s="316">
        <v>2018</v>
      </c>
      <c r="F13" s="370">
        <v>0</v>
      </c>
      <c r="G13" s="371">
        <v>0</v>
      </c>
      <c r="H13" s="372">
        <v>0</v>
      </c>
      <c r="I13" s="315">
        <v>1000</v>
      </c>
      <c r="J13" s="24">
        <v>688000</v>
      </c>
      <c r="K13" s="25">
        <f>J13/I13</f>
        <v>688</v>
      </c>
      <c r="L13" s="24">
        <f>SUM(F13,G13,H13,J13)</f>
        <v>688000</v>
      </c>
      <c r="M13" s="25">
        <f>L13/I13</f>
        <v>688</v>
      </c>
    </row>
    <row r="14" spans="2:13" x14ac:dyDescent="0.25">
      <c r="B14" s="6" t="s">
        <v>493</v>
      </c>
      <c r="C14" s="1"/>
      <c r="D14" s="8"/>
      <c r="E14" s="316"/>
      <c r="F14" s="24"/>
      <c r="G14" s="313"/>
      <c r="H14" s="23"/>
      <c r="I14" s="314"/>
      <c r="J14" s="24"/>
      <c r="K14" s="25"/>
      <c r="L14" s="24"/>
      <c r="M14" s="23"/>
    </row>
    <row r="15" spans="2:13" x14ac:dyDescent="0.25">
      <c r="B15" s="27" t="s">
        <v>45</v>
      </c>
      <c r="C15" s="1"/>
      <c r="D15" s="8"/>
      <c r="E15" s="316">
        <v>2019</v>
      </c>
      <c r="F15" s="370">
        <v>0</v>
      </c>
      <c r="G15" s="371">
        <v>0</v>
      </c>
      <c r="H15" s="372">
        <v>0</v>
      </c>
      <c r="I15" s="315">
        <v>1000</v>
      </c>
      <c r="J15" s="24">
        <v>335500</v>
      </c>
      <c r="K15" s="25">
        <f>J15/I15</f>
        <v>335.5</v>
      </c>
      <c r="L15" s="24">
        <f>SUM(F15,G15,H15,J15)</f>
        <v>335500</v>
      </c>
      <c r="M15" s="25">
        <f>L15/I15</f>
        <v>335.5</v>
      </c>
    </row>
    <row r="16" spans="2:13" x14ac:dyDescent="0.25">
      <c r="B16" s="6" t="s">
        <v>494</v>
      </c>
      <c r="C16" s="1"/>
      <c r="D16" s="8"/>
      <c r="E16" s="316"/>
      <c r="F16" s="24"/>
      <c r="G16" s="313"/>
      <c r="H16" s="23"/>
      <c r="I16" s="314"/>
      <c r="J16" s="24"/>
      <c r="K16" s="25"/>
      <c r="L16" s="24"/>
      <c r="M16" s="23"/>
    </row>
    <row r="17" spans="2:13" x14ac:dyDescent="0.25">
      <c r="B17" s="27" t="s">
        <v>45</v>
      </c>
      <c r="C17" s="1"/>
      <c r="D17" s="8"/>
      <c r="E17" s="316">
        <v>2020</v>
      </c>
      <c r="F17" s="370">
        <v>0</v>
      </c>
      <c r="G17" s="371">
        <v>0</v>
      </c>
      <c r="H17" s="372">
        <v>0</v>
      </c>
      <c r="I17" s="314">
        <v>1000</v>
      </c>
      <c r="J17" s="24">
        <v>471500</v>
      </c>
      <c r="K17" s="25">
        <f>J17/I17</f>
        <v>471.5</v>
      </c>
      <c r="L17" s="24">
        <f>SUM(F17,G17,H17,J17)</f>
        <v>471500</v>
      </c>
      <c r="M17" s="25">
        <f>L17/I17</f>
        <v>471.5</v>
      </c>
    </row>
    <row r="18" spans="2:13" x14ac:dyDescent="0.25">
      <c r="B18" s="373"/>
      <c r="C18" s="374"/>
      <c r="D18" s="375"/>
      <c r="E18" s="388"/>
      <c r="F18" s="389"/>
      <c r="G18" s="390"/>
      <c r="H18" s="391"/>
      <c r="I18" s="392"/>
      <c r="J18" s="389"/>
      <c r="K18" s="393"/>
      <c r="L18" s="389"/>
      <c r="M18" s="391"/>
    </row>
    <row r="19" spans="2:13" x14ac:dyDescent="0.25">
      <c r="B19" s="373"/>
      <c r="C19" s="374"/>
      <c r="D19" s="375"/>
      <c r="E19" s="376"/>
      <c r="F19" s="370">
        <v>0</v>
      </c>
      <c r="G19" s="371">
        <v>0</v>
      </c>
      <c r="H19" s="372">
        <v>0</v>
      </c>
      <c r="I19" s="378">
        <v>0</v>
      </c>
      <c r="J19" s="377">
        <v>0</v>
      </c>
      <c r="K19" s="379" t="e">
        <f>J19/I19</f>
        <v>#DIV/0!</v>
      </c>
      <c r="L19" s="377">
        <f>SUM(F19,G19,H19,J19)</f>
        <v>0</v>
      </c>
      <c r="M19" s="379" t="e">
        <f>L19/I19</f>
        <v>#DIV/0!</v>
      </c>
    </row>
    <row r="20" spans="2:13" x14ac:dyDescent="0.25">
      <c r="B20" s="373"/>
      <c r="C20" s="374"/>
      <c r="D20" s="375"/>
      <c r="E20" s="388"/>
      <c r="F20" s="394"/>
      <c r="G20" s="395"/>
      <c r="H20" s="391"/>
      <c r="I20" s="392"/>
      <c r="J20" s="389"/>
      <c r="K20" s="393"/>
      <c r="L20" s="389"/>
      <c r="M20" s="393"/>
    </row>
    <row r="21" spans="2:13" ht="15.75" thickBot="1" x14ac:dyDescent="0.3">
      <c r="B21" s="380"/>
      <c r="C21" s="381"/>
      <c r="D21" s="382"/>
      <c r="E21" s="383"/>
      <c r="F21" s="396">
        <v>0</v>
      </c>
      <c r="G21" s="397">
        <v>0</v>
      </c>
      <c r="H21" s="385">
        <v>0</v>
      </c>
      <c r="I21" s="386">
        <v>0</v>
      </c>
      <c r="J21" s="384">
        <v>0</v>
      </c>
      <c r="K21" s="387" t="e">
        <f>J21/I21</f>
        <v>#DIV/0!</v>
      </c>
      <c r="L21" s="384">
        <f>SUM(F21,G21,H21,J21)</f>
        <v>0</v>
      </c>
      <c r="M21" s="387" t="e">
        <f>L21/I21</f>
        <v>#DIV/0!</v>
      </c>
    </row>
    <row r="24" spans="2:13" x14ac:dyDescent="0.25">
      <c r="B24" s="20"/>
    </row>
  </sheetData>
  <sheetProtection selectLockedCells="1"/>
  <mergeCells count="2">
    <mergeCell ref="D6:E6"/>
    <mergeCell ref="B10:D10"/>
  </mergeCells>
  <phoneticPr fontId="0" type="noConversion"/>
  <printOptions horizontalCentered="1"/>
  <pageMargins left="0.78740157480314965" right="0.78740157480314965" top="0.98425196850393704" bottom="0.98425196850393704" header="0.51181102362204722" footer="0.51181102362204722"/>
  <pageSetup paperSize="9" scale="83" orientation="landscape" r:id="rId1"/>
  <headerFooter alignWithMargins="0">
    <oddFooter>&amp;L&amp;G&amp;Rblad &amp;P van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
  <sheetViews>
    <sheetView workbookViewId="0">
      <selection activeCell="B11" sqref="B11"/>
    </sheetView>
  </sheetViews>
  <sheetFormatPr defaultRowHeight="15" x14ac:dyDescent="0.25"/>
  <cols>
    <col min="2" max="2" width="29.42578125" bestFit="1" customWidth="1"/>
  </cols>
  <sheetData>
    <row r="1" spans="2:2" x14ac:dyDescent="0.25">
      <c r="B1" t="s">
        <v>351</v>
      </c>
    </row>
    <row r="2" spans="2:2" x14ac:dyDescent="0.25">
      <c r="B2" s="122" t="s">
        <v>333</v>
      </c>
    </row>
    <row r="3" spans="2:2" x14ac:dyDescent="0.25">
      <c r="B3" s="122" t="s">
        <v>363</v>
      </c>
    </row>
  </sheetData>
  <sheetProtection password="C44E" sheet="1" objects="1" scenarios="1" selectLockedCells="1" selectUnlockedCells="1"/>
  <phoneticPr fontId="0" type="noConversion"/>
  <printOptions horizontalCentered="1"/>
  <pageMargins left="0.78740157480314965" right="0.59055118110236227" top="0.98425196850393704" bottom="0.98425196850393704" header="0.51181102362204722" footer="0.51181102362204722"/>
  <pageSetup paperSize="9" scale="85" orientation="portrait" r:id="rId1"/>
  <headerFooter alignWithMargins="0">
    <oddFooter>&amp;L&amp;G&amp;Rblad &amp;P van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dimension ref="A1:S107"/>
  <sheetViews>
    <sheetView topLeftCell="A94" zoomScaleNormal="100" zoomScaleSheetLayoutView="100" workbookViewId="0">
      <selection activeCell="G90" sqref="G90:G92"/>
    </sheetView>
  </sheetViews>
  <sheetFormatPr defaultRowHeight="15" x14ac:dyDescent="0.25"/>
  <cols>
    <col min="1" max="1" width="2.7109375" style="241" customWidth="1"/>
    <col min="2" max="2" width="1.7109375" style="241" customWidth="1"/>
    <col min="3" max="5" width="8.7109375" style="241" customWidth="1"/>
    <col min="6" max="6" width="5.7109375" style="241" customWidth="1"/>
    <col min="7" max="7" width="10.7109375" style="241" customWidth="1"/>
    <col min="8" max="8" width="5.7109375" style="241" customWidth="1"/>
    <col min="9" max="9" width="10.7109375" style="241" customWidth="1"/>
    <col min="10" max="10" width="5.7109375" style="241" customWidth="1"/>
    <col min="11" max="11" width="10.7109375" style="241" customWidth="1"/>
    <col min="12" max="12" width="5.7109375" style="241" customWidth="1"/>
    <col min="13" max="13" width="10.7109375" style="241" customWidth="1"/>
    <col min="14" max="14" width="5.7109375" style="241" customWidth="1"/>
    <col min="15" max="15" width="10.7109375" style="241" customWidth="1"/>
    <col min="16" max="16" width="1.7109375" style="241" customWidth="1"/>
    <col min="17" max="16384" width="9.140625" style="241"/>
  </cols>
  <sheetData>
    <row r="1" spans="2:18" ht="15.75" thickBot="1" x14ac:dyDescent="0.3"/>
    <row r="2" spans="2:18" ht="5.0999999999999996" customHeight="1" x14ac:dyDescent="0.25">
      <c r="B2" s="243"/>
      <c r="C2" s="244"/>
      <c r="D2" s="244"/>
      <c r="E2" s="244"/>
      <c r="F2" s="244"/>
      <c r="G2" s="244"/>
      <c r="H2" s="244"/>
      <c r="I2" s="244"/>
      <c r="J2" s="244"/>
      <c r="K2" s="244"/>
      <c r="L2" s="244"/>
      <c r="M2" s="244"/>
      <c r="N2" s="244"/>
      <c r="O2" s="244"/>
      <c r="P2" s="246"/>
    </row>
    <row r="3" spans="2:18" ht="18.75" x14ac:dyDescent="0.3">
      <c r="B3" s="247"/>
      <c r="C3" s="328" t="s">
        <v>52</v>
      </c>
      <c r="D3" s="266"/>
      <c r="E3" s="266"/>
      <c r="F3" s="266"/>
      <c r="G3" s="266"/>
      <c r="H3" s="266"/>
      <c r="I3" s="266"/>
      <c r="J3" s="266"/>
      <c r="K3" s="266"/>
      <c r="L3" s="266"/>
      <c r="M3" s="266"/>
      <c r="N3" s="266"/>
      <c r="O3" s="266"/>
      <c r="P3" s="250"/>
    </row>
    <row r="4" spans="2:18" x14ac:dyDescent="0.25">
      <c r="B4" s="247"/>
      <c r="C4" s="329" t="s">
        <v>27</v>
      </c>
      <c r="D4" s="266"/>
      <c r="E4" s="266"/>
      <c r="F4" s="266"/>
      <c r="G4" s="266"/>
      <c r="H4" s="266"/>
      <c r="I4" s="266"/>
      <c r="J4" s="266"/>
      <c r="K4" s="266"/>
      <c r="L4" s="266"/>
      <c r="M4" s="266"/>
      <c r="N4" s="266"/>
      <c r="O4" s="266"/>
      <c r="P4" s="250"/>
    </row>
    <row r="5" spans="2:18" ht="18.75" x14ac:dyDescent="0.3">
      <c r="B5" s="247"/>
      <c r="C5" s="328"/>
      <c r="D5" s="266"/>
      <c r="E5" s="266"/>
      <c r="F5" s="266"/>
      <c r="G5" s="266"/>
      <c r="H5" s="266"/>
      <c r="I5" s="266"/>
      <c r="J5" s="266"/>
      <c r="K5" s="266"/>
      <c r="L5" s="266"/>
      <c r="M5" s="266"/>
      <c r="N5" s="266"/>
      <c r="O5" s="266"/>
      <c r="P5" s="250"/>
    </row>
    <row r="6" spans="2:18" x14ac:dyDescent="0.25">
      <c r="B6" s="247"/>
      <c r="C6" s="330" t="s">
        <v>1</v>
      </c>
      <c r="D6" s="429">
        <f>Samenvatting!E6</f>
        <v>43186</v>
      </c>
      <c r="E6" s="429">
        <v>0</v>
      </c>
      <c r="F6" s="266"/>
      <c r="G6" s="266"/>
      <c r="H6" s="266"/>
      <c r="I6" s="266"/>
      <c r="J6" s="266"/>
      <c r="K6" s="266"/>
      <c r="L6" s="266"/>
      <c r="M6" s="266"/>
      <c r="N6" s="266"/>
      <c r="O6" s="266"/>
      <c r="P6" s="250"/>
    </row>
    <row r="7" spans="2:18" x14ac:dyDescent="0.25">
      <c r="B7" s="247"/>
      <c r="C7" s="331" t="s">
        <v>26</v>
      </c>
      <c r="D7" s="332">
        <f>Samenvatting!E7</f>
        <v>0</v>
      </c>
      <c r="E7" s="332"/>
      <c r="F7" s="266"/>
      <c r="G7" s="266"/>
      <c r="H7" s="266"/>
      <c r="I7" s="266"/>
      <c r="J7" s="266"/>
      <c r="K7" s="266"/>
      <c r="L7" s="266"/>
      <c r="M7" s="266"/>
      <c r="N7" s="266"/>
      <c r="O7" s="266"/>
      <c r="P7" s="250"/>
    </row>
    <row r="8" spans="2:18" ht="5.0999999999999996" customHeight="1" thickBot="1" x14ac:dyDescent="0.3">
      <c r="B8" s="252"/>
      <c r="C8" s="253"/>
      <c r="D8" s="254"/>
      <c r="E8" s="254"/>
      <c r="F8" s="254"/>
      <c r="G8" s="254"/>
      <c r="H8" s="254"/>
      <c r="I8" s="254"/>
      <c r="J8" s="254"/>
      <c r="K8" s="254"/>
      <c r="L8" s="254"/>
      <c r="M8" s="254"/>
      <c r="N8" s="254"/>
      <c r="O8" s="254"/>
      <c r="P8" s="256"/>
    </row>
    <row r="9" spans="2:18" ht="30" customHeight="1" thickBot="1" x14ac:dyDescent="0.3"/>
    <row r="10" spans="2:18" ht="5.0999999999999996" customHeight="1" x14ac:dyDescent="0.25">
      <c r="B10" s="257"/>
      <c r="C10" s="258"/>
      <c r="D10" s="259"/>
      <c r="E10" s="259"/>
      <c r="F10" s="259"/>
      <c r="G10" s="259"/>
      <c r="H10" s="259"/>
      <c r="I10" s="260"/>
      <c r="J10" s="259"/>
      <c r="K10" s="260"/>
      <c r="L10" s="259"/>
      <c r="M10" s="259"/>
      <c r="N10" s="259"/>
      <c r="O10" s="259"/>
      <c r="P10" s="261"/>
    </row>
    <row r="11" spans="2:18" x14ac:dyDescent="0.25">
      <c r="B11" s="262"/>
      <c r="C11" s="263" t="s">
        <v>352</v>
      </c>
      <c r="D11" s="264"/>
      <c r="E11" s="264"/>
      <c r="F11" s="264"/>
      <c r="G11" s="264"/>
      <c r="I11" s="265"/>
      <c r="K11" s="265"/>
      <c r="L11" s="264"/>
      <c r="M11" s="266"/>
      <c r="N11" s="266"/>
      <c r="O11" s="267"/>
      <c r="P11" s="268"/>
    </row>
    <row r="12" spans="2:18" s="333" customFormat="1" ht="15.75" thickBot="1" x14ac:dyDescent="0.3">
      <c r="B12" s="270"/>
      <c r="C12" s="271"/>
      <c r="D12" s="271"/>
      <c r="E12" s="272"/>
      <c r="F12" s="271"/>
      <c r="G12" s="271"/>
      <c r="H12" s="271"/>
      <c r="I12" s="273"/>
      <c r="J12" s="274"/>
      <c r="K12" s="275"/>
      <c r="L12" s="271"/>
      <c r="M12" s="271"/>
      <c r="N12" s="271"/>
      <c r="O12" s="271"/>
      <c r="P12" s="276"/>
    </row>
    <row r="13" spans="2:18" s="333" customFormat="1" ht="5.0999999999999996" customHeight="1" x14ac:dyDescent="0.25">
      <c r="B13" s="297"/>
      <c r="C13" s="298"/>
      <c r="D13" s="298"/>
      <c r="E13" s="299"/>
      <c r="F13" s="298"/>
      <c r="G13" s="298"/>
      <c r="H13" s="298"/>
      <c r="I13" s="334"/>
      <c r="J13" s="335"/>
      <c r="K13" s="336"/>
      <c r="L13" s="298"/>
      <c r="M13" s="298"/>
      <c r="N13" s="298"/>
      <c r="O13" s="298"/>
      <c r="P13" s="337"/>
    </row>
    <row r="14" spans="2:18" x14ac:dyDescent="0.25">
      <c r="B14" s="247"/>
      <c r="C14" s="430"/>
      <c r="D14" s="430"/>
      <c r="E14" s="430"/>
      <c r="F14" s="430"/>
      <c r="G14" s="266"/>
      <c r="H14" s="266"/>
      <c r="I14" s="266"/>
      <c r="J14" s="266"/>
      <c r="K14" s="266"/>
      <c r="L14" s="266"/>
      <c r="M14" s="266"/>
      <c r="N14" s="266"/>
      <c r="O14" s="266"/>
      <c r="P14" s="250"/>
      <c r="R14" s="304">
        <v>2</v>
      </c>
    </row>
    <row r="15" spans="2:18" ht="5.0999999999999996" customHeight="1" thickBot="1" x14ac:dyDescent="0.3">
      <c r="B15" s="252"/>
      <c r="C15" s="254"/>
      <c r="D15" s="254"/>
      <c r="E15" s="254"/>
      <c r="F15" s="254"/>
      <c r="G15" s="254"/>
      <c r="H15" s="254"/>
      <c r="I15" s="254"/>
      <c r="J15" s="254"/>
      <c r="K15" s="254"/>
      <c r="L15" s="254"/>
      <c r="M15" s="254"/>
      <c r="N15" s="254"/>
      <c r="O15" s="254"/>
      <c r="P15" s="256"/>
    </row>
    <row r="16" spans="2:18" ht="30" customHeight="1" thickBot="1" x14ac:dyDescent="0.3"/>
    <row r="17" spans="1:18" ht="5.0999999999999996" customHeight="1" x14ac:dyDescent="0.25">
      <c r="B17" s="243"/>
      <c r="C17" s="338"/>
      <c r="D17" s="244"/>
      <c r="E17" s="244"/>
      <c r="F17" s="244"/>
      <c r="G17" s="244"/>
      <c r="H17" s="244"/>
      <c r="I17" s="339"/>
      <c r="J17" s="244"/>
      <c r="K17" s="339"/>
      <c r="L17" s="244"/>
      <c r="M17" s="244"/>
      <c r="N17" s="244"/>
      <c r="O17" s="244"/>
      <c r="P17" s="246"/>
    </row>
    <row r="18" spans="1:18" x14ac:dyDescent="0.25">
      <c r="B18" s="247"/>
      <c r="C18" s="340" t="s">
        <v>371</v>
      </c>
      <c r="D18" s="340"/>
      <c r="E18" s="340"/>
      <c r="I18" s="242"/>
      <c r="K18" s="242"/>
      <c r="O18" s="341"/>
      <c r="P18" s="250"/>
    </row>
    <row r="19" spans="1:18" ht="15.75" thickBot="1" x14ac:dyDescent="0.3">
      <c r="A19" s="333"/>
      <c r="B19" s="342"/>
      <c r="C19" s="274"/>
      <c r="D19" s="274"/>
      <c r="E19" s="274"/>
      <c r="F19" s="274"/>
      <c r="G19" s="274"/>
      <c r="H19" s="274"/>
      <c r="I19" s="275"/>
      <c r="J19" s="274"/>
      <c r="K19" s="275"/>
      <c r="L19" s="274"/>
      <c r="M19" s="274"/>
      <c r="N19" s="274"/>
      <c r="O19" s="274"/>
      <c r="P19" s="343"/>
      <c r="Q19" s="333"/>
      <c r="R19" s="333"/>
    </row>
    <row r="20" spans="1:18" x14ac:dyDescent="0.25">
      <c r="B20" s="243"/>
      <c r="C20" s="244"/>
      <c r="D20" s="244"/>
      <c r="E20" s="244"/>
      <c r="F20" s="244"/>
      <c r="G20" s="344"/>
      <c r="H20" s="244"/>
      <c r="I20" s="344"/>
      <c r="J20" s="244"/>
      <c r="K20" s="244"/>
      <c r="L20" s="244"/>
      <c r="M20" s="244"/>
      <c r="N20" s="244"/>
      <c r="O20" s="244"/>
      <c r="P20" s="246"/>
    </row>
    <row r="21" spans="1:18" x14ac:dyDescent="0.25">
      <c r="B21" s="247"/>
      <c r="C21" s="345" t="s">
        <v>375</v>
      </c>
      <c r="D21" s="266"/>
      <c r="E21" s="266"/>
      <c r="F21" s="266"/>
      <c r="G21" s="432">
        <v>0</v>
      </c>
      <c r="H21" s="433"/>
      <c r="I21" s="266"/>
      <c r="J21" s="266"/>
      <c r="K21" s="266"/>
      <c r="L21" s="266"/>
      <c r="M21" s="266"/>
      <c r="N21" s="266"/>
      <c r="O21" s="266"/>
      <c r="P21" s="250"/>
    </row>
    <row r="22" spans="1:18" x14ac:dyDescent="0.25">
      <c r="B22" s="247"/>
      <c r="C22" s="345" t="s">
        <v>377</v>
      </c>
      <c r="D22" s="266"/>
      <c r="E22" s="266"/>
      <c r="F22" s="266"/>
      <c r="G22" s="432">
        <v>0</v>
      </c>
      <c r="H22" s="433"/>
      <c r="I22" s="266"/>
      <c r="J22" s="266"/>
      <c r="K22" s="266"/>
      <c r="L22" s="266"/>
      <c r="M22" s="266"/>
      <c r="N22" s="266"/>
      <c r="O22" s="266"/>
      <c r="P22" s="250"/>
    </row>
    <row r="23" spans="1:18" x14ac:dyDescent="0.25">
      <c r="B23" s="247"/>
      <c r="C23" s="345" t="s">
        <v>378</v>
      </c>
      <c r="D23" s="266"/>
      <c r="E23" s="266"/>
      <c r="F23" s="266"/>
      <c r="G23" s="432">
        <v>0</v>
      </c>
      <c r="H23" s="433"/>
      <c r="I23" s="266"/>
      <c r="J23" s="266"/>
      <c r="K23" s="266"/>
      <c r="L23" s="266"/>
      <c r="M23" s="266"/>
      <c r="N23" s="266"/>
      <c r="O23" s="266"/>
      <c r="P23" s="250"/>
    </row>
    <row r="24" spans="1:18" x14ac:dyDescent="0.25">
      <c r="B24" s="247"/>
      <c r="C24" s="345" t="s">
        <v>379</v>
      </c>
      <c r="D24" s="266"/>
      <c r="E24" s="266"/>
      <c r="F24" s="266"/>
      <c r="G24" s="432">
        <v>0</v>
      </c>
      <c r="H24" s="433"/>
      <c r="I24" s="266"/>
      <c r="J24" s="266"/>
      <c r="K24" s="266"/>
      <c r="L24" s="266"/>
      <c r="M24" s="266"/>
      <c r="N24" s="266"/>
      <c r="O24" s="266"/>
      <c r="P24" s="250"/>
    </row>
    <row r="25" spans="1:18" x14ac:dyDescent="0.25">
      <c r="B25" s="247"/>
      <c r="C25" s="345" t="s">
        <v>374</v>
      </c>
      <c r="D25" s="266"/>
      <c r="E25" s="266"/>
      <c r="F25" s="266"/>
      <c r="G25" s="432">
        <v>0</v>
      </c>
      <c r="H25" s="433"/>
      <c r="I25" s="266"/>
      <c r="J25" s="266"/>
      <c r="K25" s="266"/>
      <c r="L25" s="266"/>
      <c r="M25" s="266"/>
      <c r="N25" s="266"/>
      <c r="O25" s="266"/>
      <c r="P25" s="250"/>
    </row>
    <row r="26" spans="1:18" x14ac:dyDescent="0.25">
      <c r="B26" s="247"/>
      <c r="C26" s="345" t="s">
        <v>376</v>
      </c>
      <c r="D26" s="266"/>
      <c r="E26" s="266"/>
      <c r="F26" s="266"/>
      <c r="G26" s="432">
        <v>0</v>
      </c>
      <c r="H26" s="433"/>
      <c r="I26" s="266"/>
      <c r="J26" s="266"/>
      <c r="K26" s="266"/>
      <c r="L26" s="266"/>
      <c r="M26" s="266"/>
      <c r="N26" s="266"/>
      <c r="O26" s="266"/>
      <c r="P26" s="250"/>
    </row>
    <row r="27" spans="1:18" x14ac:dyDescent="0.25">
      <c r="B27" s="247"/>
      <c r="C27" s="345" t="s">
        <v>380</v>
      </c>
      <c r="D27" s="266"/>
      <c r="E27" s="266"/>
      <c r="F27" s="266"/>
      <c r="G27" s="432">
        <v>0</v>
      </c>
      <c r="H27" s="433"/>
      <c r="I27" s="266"/>
      <c r="J27" s="266"/>
      <c r="K27" s="266"/>
      <c r="L27" s="266"/>
      <c r="M27" s="266"/>
      <c r="N27" s="266"/>
      <c r="O27" s="266"/>
      <c r="P27" s="250"/>
    </row>
    <row r="28" spans="1:18" x14ac:dyDescent="0.25">
      <c r="B28" s="247"/>
      <c r="C28" s="345" t="s">
        <v>381</v>
      </c>
      <c r="D28" s="266"/>
      <c r="E28" s="266"/>
      <c r="F28" s="266"/>
      <c r="G28" s="432">
        <v>0</v>
      </c>
      <c r="H28" s="433"/>
      <c r="I28" s="266"/>
      <c r="J28" s="266"/>
      <c r="K28" s="266"/>
      <c r="L28" s="266"/>
      <c r="M28" s="266"/>
      <c r="N28" s="266"/>
      <c r="O28" s="266"/>
      <c r="P28" s="250"/>
    </row>
    <row r="29" spans="1:18" ht="15.75" thickBot="1" x14ac:dyDescent="0.3">
      <c r="B29" s="247"/>
      <c r="C29" s="345" t="s">
        <v>382</v>
      </c>
      <c r="D29" s="266"/>
      <c r="E29" s="266"/>
      <c r="F29" s="266"/>
      <c r="G29" s="434">
        <v>0</v>
      </c>
      <c r="H29" s="435"/>
      <c r="I29" s="266"/>
      <c r="J29" s="266"/>
      <c r="K29" s="266"/>
      <c r="L29" s="266"/>
      <c r="M29" s="266"/>
      <c r="N29" s="266"/>
      <c r="O29" s="266"/>
      <c r="P29" s="250"/>
    </row>
    <row r="30" spans="1:18" ht="5.0999999999999996" customHeight="1" thickBot="1" x14ac:dyDescent="0.3">
      <c r="B30" s="252"/>
      <c r="C30" s="254"/>
      <c r="D30" s="254"/>
      <c r="E30" s="254"/>
      <c r="F30" s="254"/>
      <c r="G30" s="254"/>
      <c r="H30" s="254"/>
      <c r="I30" s="254"/>
      <c r="J30" s="254"/>
      <c r="K30" s="254"/>
      <c r="L30" s="254"/>
      <c r="M30" s="254"/>
      <c r="N30" s="254"/>
      <c r="O30" s="254"/>
      <c r="P30" s="256"/>
    </row>
    <row r="31" spans="1:18" ht="30" customHeight="1" thickBot="1" x14ac:dyDescent="0.3">
      <c r="B31" s="247"/>
      <c r="C31" s="266"/>
      <c r="D31" s="266"/>
      <c r="E31" s="266"/>
      <c r="F31" s="266"/>
      <c r="G31" s="266"/>
      <c r="H31" s="266"/>
      <c r="I31" s="266"/>
      <c r="J31" s="266"/>
      <c r="K31" s="266"/>
      <c r="L31" s="266"/>
      <c r="M31" s="266"/>
      <c r="N31" s="266"/>
      <c r="O31" s="266"/>
      <c r="P31" s="250"/>
    </row>
    <row r="32" spans="1:18" ht="5.0999999999999996" customHeight="1" x14ac:dyDescent="0.25">
      <c r="B32" s="243"/>
      <c r="C32" s="338"/>
      <c r="D32" s="244"/>
      <c r="E32" s="244"/>
      <c r="F32" s="244"/>
      <c r="G32" s="244"/>
      <c r="H32" s="244"/>
      <c r="I32" s="339"/>
      <c r="J32" s="244"/>
      <c r="K32" s="339"/>
      <c r="L32" s="244"/>
      <c r="M32" s="244"/>
      <c r="N32" s="244"/>
      <c r="O32" s="244"/>
      <c r="P32" s="246"/>
    </row>
    <row r="33" spans="1:18" ht="15" customHeight="1" x14ac:dyDescent="0.25">
      <c r="B33" s="247"/>
      <c r="C33" s="290" t="s">
        <v>358</v>
      </c>
      <c r="D33" s="290"/>
      <c r="E33" s="290"/>
      <c r="F33" s="266"/>
      <c r="G33" s="266"/>
      <c r="H33" s="266"/>
      <c r="I33" s="280"/>
      <c r="J33" s="266"/>
      <c r="K33" s="280"/>
      <c r="L33" s="266"/>
      <c r="M33" s="266"/>
      <c r="N33" s="266"/>
      <c r="O33" s="346"/>
      <c r="P33" s="250"/>
    </row>
    <row r="34" spans="1:18" ht="15" customHeight="1" thickBot="1" x14ac:dyDescent="0.3">
      <c r="A34" s="333"/>
      <c r="B34" s="342"/>
      <c r="C34" s="274"/>
      <c r="D34" s="274"/>
      <c r="E34" s="274"/>
      <c r="F34" s="274"/>
      <c r="G34" s="274"/>
      <c r="H34" s="274"/>
      <c r="I34" s="275"/>
      <c r="J34" s="274"/>
      <c r="K34" s="275"/>
      <c r="L34" s="274"/>
      <c r="M34" s="274"/>
      <c r="N34" s="274"/>
      <c r="O34" s="274"/>
      <c r="P34" s="343"/>
      <c r="Q34" s="333"/>
      <c r="R34" s="333"/>
    </row>
    <row r="35" spans="1:18" ht="15" customHeight="1" thickBot="1" x14ac:dyDescent="0.3">
      <c r="B35" s="247"/>
      <c r="C35" s="266"/>
      <c r="D35" s="266"/>
      <c r="E35" s="266"/>
      <c r="F35" s="266"/>
      <c r="G35" s="335" t="s">
        <v>30</v>
      </c>
      <c r="H35" s="266"/>
      <c r="I35" s="335" t="s">
        <v>354</v>
      </c>
      <c r="K35" s="335" t="s">
        <v>187</v>
      </c>
      <c r="L35" s="266"/>
      <c r="M35" s="335" t="s">
        <v>177</v>
      </c>
      <c r="N35" s="266"/>
      <c r="O35" s="335" t="s">
        <v>31</v>
      </c>
      <c r="P35" s="250"/>
    </row>
    <row r="36" spans="1:18" x14ac:dyDescent="0.25">
      <c r="B36" s="247"/>
      <c r="C36" s="345" t="s">
        <v>334</v>
      </c>
      <c r="D36" s="266"/>
      <c r="E36" s="266"/>
      <c r="F36" s="266" t="s">
        <v>59</v>
      </c>
      <c r="G36" s="217"/>
      <c r="H36" s="266"/>
      <c r="I36" s="217"/>
      <c r="K36" s="217"/>
      <c r="L36" s="266"/>
      <c r="M36" s="217"/>
      <c r="N36" s="266"/>
      <c r="O36" s="217"/>
      <c r="P36" s="250"/>
    </row>
    <row r="37" spans="1:18" x14ac:dyDescent="0.25">
      <c r="B37" s="247"/>
      <c r="C37" s="345" t="s">
        <v>337</v>
      </c>
      <c r="D37" s="266"/>
      <c r="E37" s="266"/>
      <c r="F37" s="266" t="s">
        <v>59</v>
      </c>
      <c r="G37" s="218"/>
      <c r="H37" s="266"/>
      <c r="I37" s="218"/>
      <c r="K37" s="218"/>
      <c r="L37" s="266"/>
      <c r="M37" s="218"/>
      <c r="N37" s="266"/>
      <c r="O37" s="218"/>
      <c r="P37" s="250"/>
    </row>
    <row r="38" spans="1:18" x14ac:dyDescent="0.25">
      <c r="B38" s="247"/>
      <c r="C38" s="345" t="s">
        <v>335</v>
      </c>
      <c r="D38" s="266"/>
      <c r="E38" s="266"/>
      <c r="F38" s="266" t="s">
        <v>59</v>
      </c>
      <c r="G38" s="218"/>
      <c r="H38" s="266"/>
      <c r="I38" s="218"/>
      <c r="K38" s="218"/>
      <c r="L38" s="266"/>
      <c r="M38" s="218"/>
      <c r="N38" s="266"/>
      <c r="O38" s="218"/>
      <c r="P38" s="250"/>
    </row>
    <row r="39" spans="1:18" ht="15.75" thickBot="1" x14ac:dyDescent="0.3">
      <c r="B39" s="247"/>
      <c r="C39" s="345" t="s">
        <v>336</v>
      </c>
      <c r="D39" s="266"/>
      <c r="E39" s="266"/>
      <c r="F39" s="266" t="s">
        <v>59</v>
      </c>
      <c r="G39" s="219"/>
      <c r="H39" s="266"/>
      <c r="I39" s="219"/>
      <c r="K39" s="219"/>
      <c r="L39" s="266"/>
      <c r="M39" s="219"/>
      <c r="N39" s="266"/>
      <c r="O39" s="219"/>
      <c r="P39" s="250"/>
    </row>
    <row r="40" spans="1:18" ht="5.0999999999999996" customHeight="1" thickBot="1" x14ac:dyDescent="0.3">
      <c r="B40" s="347"/>
      <c r="C40" s="254"/>
      <c r="D40" s="254"/>
      <c r="E40" s="254"/>
      <c r="F40" s="254"/>
      <c r="G40" s="254"/>
      <c r="H40" s="254"/>
      <c r="I40" s="254"/>
      <c r="J40" s="254"/>
      <c r="K40" s="254"/>
      <c r="L40" s="254"/>
      <c r="M40" s="254"/>
      <c r="N40" s="254"/>
      <c r="O40" s="254"/>
      <c r="P40" s="256"/>
    </row>
    <row r="41" spans="1:18" ht="30" customHeight="1" thickBot="1" x14ac:dyDescent="0.3">
      <c r="B41" s="348"/>
    </row>
    <row r="42" spans="1:18" ht="5.0999999999999996" customHeight="1" x14ac:dyDescent="0.25">
      <c r="B42" s="243"/>
      <c r="C42" s="338"/>
      <c r="D42" s="244"/>
      <c r="E42" s="244"/>
      <c r="F42" s="244"/>
      <c r="G42" s="244"/>
      <c r="H42" s="244"/>
      <c r="I42" s="339"/>
      <c r="J42" s="244"/>
      <c r="K42" s="339"/>
      <c r="L42" s="244"/>
      <c r="M42" s="244"/>
      <c r="N42" s="244"/>
      <c r="O42" s="244"/>
      <c r="P42" s="246"/>
    </row>
    <row r="43" spans="1:18" ht="15" customHeight="1" x14ac:dyDescent="0.25">
      <c r="B43" s="247"/>
      <c r="C43" s="340" t="s">
        <v>359</v>
      </c>
      <c r="D43" s="340"/>
      <c r="E43" s="340"/>
      <c r="I43" s="242"/>
      <c r="K43" s="242"/>
      <c r="O43" s="341"/>
      <c r="P43" s="250"/>
    </row>
    <row r="44" spans="1:18" ht="15" customHeight="1" thickBot="1" x14ac:dyDescent="0.3">
      <c r="A44" s="333"/>
      <c r="B44" s="342"/>
      <c r="C44" s="274"/>
      <c r="D44" s="274"/>
      <c r="E44" s="274"/>
      <c r="F44" s="274"/>
      <c r="G44" s="274"/>
      <c r="H44" s="274"/>
      <c r="I44" s="275"/>
      <c r="J44" s="274"/>
      <c r="K44" s="275"/>
      <c r="L44" s="274"/>
      <c r="M44" s="274"/>
      <c r="N44" s="274"/>
      <c r="O44" s="274"/>
      <c r="P44" s="343"/>
      <c r="Q44" s="333"/>
      <c r="R44" s="333"/>
    </row>
    <row r="45" spans="1:18" ht="15.75" thickBot="1" x14ac:dyDescent="0.3">
      <c r="B45" s="243"/>
      <c r="C45" s="244"/>
      <c r="D45" s="244"/>
      <c r="E45" s="244"/>
      <c r="F45" s="244"/>
      <c r="G45" s="344" t="s">
        <v>30</v>
      </c>
      <c r="H45" s="244"/>
      <c r="I45" s="344" t="s">
        <v>187</v>
      </c>
      <c r="J45" s="244"/>
      <c r="K45" s="344" t="s">
        <v>177</v>
      </c>
      <c r="L45" s="244"/>
      <c r="M45" s="344" t="s">
        <v>31</v>
      </c>
      <c r="N45" s="244"/>
      <c r="O45" s="244"/>
      <c r="P45" s="246"/>
    </row>
    <row r="46" spans="1:18" ht="15.75" thickBot="1" x14ac:dyDescent="0.3">
      <c r="B46" s="247"/>
      <c r="C46" s="345" t="s">
        <v>334</v>
      </c>
      <c r="D46" s="266"/>
      <c r="E46" s="266"/>
      <c r="F46" s="266" t="s">
        <v>59</v>
      </c>
      <c r="G46" s="220"/>
      <c r="H46" s="266"/>
      <c r="I46" s="217"/>
      <c r="J46" s="266"/>
      <c r="K46" s="217"/>
      <c r="L46" s="266"/>
      <c r="M46" s="266"/>
      <c r="N46" s="266"/>
      <c r="O46" s="266"/>
      <c r="P46" s="250"/>
    </row>
    <row r="47" spans="1:18" ht="15.75" thickBot="1" x14ac:dyDescent="0.3">
      <c r="B47" s="247"/>
      <c r="C47" s="345" t="s">
        <v>337</v>
      </c>
      <c r="D47" s="266"/>
      <c r="E47" s="266"/>
      <c r="F47" s="266" t="s">
        <v>59</v>
      </c>
      <c r="G47" s="349"/>
      <c r="H47" s="266"/>
      <c r="I47" s="219"/>
      <c r="J47" s="266"/>
      <c r="K47" s="219"/>
      <c r="L47" s="266"/>
      <c r="M47" s="254"/>
      <c r="N47" s="266"/>
      <c r="O47" s="266"/>
      <c r="P47" s="250"/>
    </row>
    <row r="48" spans="1:18" ht="15.75" thickBot="1" x14ac:dyDescent="0.3">
      <c r="B48" s="247"/>
      <c r="C48" s="345" t="s">
        <v>335</v>
      </c>
      <c r="D48" s="266"/>
      <c r="E48" s="266"/>
      <c r="F48" s="266" t="s">
        <v>59</v>
      </c>
      <c r="G48" s="223"/>
      <c r="H48" s="266"/>
      <c r="I48" s="266"/>
      <c r="J48" s="266"/>
      <c r="K48" s="266"/>
      <c r="L48" s="266"/>
      <c r="M48" s="221"/>
      <c r="N48" s="266"/>
      <c r="O48" s="266"/>
      <c r="P48" s="250"/>
    </row>
    <row r="49" spans="1:18" ht="15.75" thickBot="1" x14ac:dyDescent="0.3">
      <c r="B49" s="247"/>
      <c r="C49" s="345" t="s">
        <v>336</v>
      </c>
      <c r="D49" s="266"/>
      <c r="E49" s="266"/>
      <c r="F49" s="266" t="s">
        <v>59</v>
      </c>
      <c r="G49" s="244"/>
      <c r="H49" s="266"/>
      <c r="I49" s="266"/>
      <c r="J49" s="266"/>
      <c r="K49" s="266"/>
      <c r="L49" s="266"/>
      <c r="M49" s="222"/>
      <c r="N49" s="266"/>
      <c r="O49" s="266"/>
      <c r="P49" s="250"/>
    </row>
    <row r="50" spans="1:18" ht="15.75" thickBot="1" x14ac:dyDescent="0.3">
      <c r="B50" s="247"/>
      <c r="C50" s="345"/>
      <c r="D50" s="266"/>
      <c r="E50" s="266"/>
      <c r="F50" s="266"/>
      <c r="G50" s="254"/>
      <c r="H50" s="266"/>
      <c r="I50" s="266"/>
      <c r="J50" s="266"/>
      <c r="K50" s="266"/>
      <c r="L50" s="266"/>
      <c r="M50" s="244"/>
      <c r="N50" s="266"/>
      <c r="O50" s="266"/>
      <c r="P50" s="250"/>
    </row>
    <row r="51" spans="1:18" x14ac:dyDescent="0.25">
      <c r="B51" s="247"/>
      <c r="C51" s="345" t="s">
        <v>348</v>
      </c>
      <c r="D51" s="266"/>
      <c r="E51" s="266"/>
      <c r="F51" s="266" t="s">
        <v>60</v>
      </c>
      <c r="G51" s="221"/>
      <c r="H51" s="266"/>
      <c r="I51" s="266"/>
      <c r="J51" s="266"/>
      <c r="K51" s="266"/>
      <c r="L51" s="266"/>
      <c r="M51" s="266"/>
      <c r="N51" s="266"/>
      <c r="O51" s="266"/>
      <c r="P51" s="250"/>
    </row>
    <row r="52" spans="1:18" x14ac:dyDescent="0.25">
      <c r="B52" s="247"/>
      <c r="C52" s="345" t="s">
        <v>349</v>
      </c>
      <c r="D52" s="266"/>
      <c r="E52" s="266"/>
      <c r="F52" s="266" t="s">
        <v>60</v>
      </c>
      <c r="G52" s="218"/>
      <c r="H52" s="266"/>
      <c r="I52" s="266"/>
      <c r="J52" s="266"/>
      <c r="K52" s="266"/>
      <c r="L52" s="266"/>
      <c r="M52" s="266"/>
      <c r="N52" s="266"/>
      <c r="O52" s="266"/>
      <c r="P52" s="250"/>
    </row>
    <row r="53" spans="1:18" ht="15.75" thickBot="1" x14ac:dyDescent="0.3">
      <c r="B53" s="247"/>
      <c r="C53" s="345" t="s">
        <v>350</v>
      </c>
      <c r="D53" s="266"/>
      <c r="E53" s="266"/>
      <c r="F53" s="266" t="s">
        <v>60</v>
      </c>
      <c r="G53" s="219"/>
      <c r="H53" s="266"/>
      <c r="I53" s="266"/>
      <c r="J53" s="266"/>
      <c r="K53" s="266"/>
      <c r="L53" s="266"/>
      <c r="M53" s="266"/>
      <c r="N53" s="266"/>
      <c r="O53" s="266"/>
      <c r="P53" s="250"/>
    </row>
    <row r="54" spans="1:18" ht="5.0999999999999996" customHeight="1" thickBot="1" x14ac:dyDescent="0.3">
      <c r="B54" s="347"/>
      <c r="C54" s="254"/>
      <c r="D54" s="254"/>
      <c r="E54" s="254"/>
      <c r="F54" s="254"/>
      <c r="G54" s="254"/>
      <c r="H54" s="254"/>
      <c r="I54" s="254"/>
      <c r="J54" s="254"/>
      <c r="K54" s="254"/>
      <c r="L54" s="254"/>
      <c r="M54" s="254"/>
      <c r="N54" s="254"/>
      <c r="O54" s="254"/>
      <c r="P54" s="256"/>
    </row>
    <row r="55" spans="1:18" ht="30" customHeight="1" thickBot="1" x14ac:dyDescent="0.3">
      <c r="B55" s="348"/>
    </row>
    <row r="56" spans="1:18" ht="5.0999999999999996" customHeight="1" x14ac:dyDescent="0.25">
      <c r="B56" s="243"/>
      <c r="C56" s="338"/>
      <c r="D56" s="244"/>
      <c r="E56" s="244"/>
      <c r="F56" s="244"/>
      <c r="G56" s="244"/>
      <c r="H56" s="244"/>
      <c r="I56" s="339"/>
      <c r="J56" s="244"/>
      <c r="K56" s="339"/>
      <c r="L56" s="244"/>
      <c r="M56" s="244"/>
      <c r="N56" s="244"/>
      <c r="O56" s="244"/>
      <c r="P56" s="246"/>
    </row>
    <row r="57" spans="1:18" ht="15" customHeight="1" x14ac:dyDescent="0.25">
      <c r="B57" s="247"/>
      <c r="C57" s="290" t="s">
        <v>360</v>
      </c>
      <c r="D57" s="290"/>
      <c r="E57" s="290"/>
      <c r="F57" s="266"/>
      <c r="G57" s="266"/>
      <c r="H57" s="266"/>
      <c r="I57" s="280"/>
      <c r="J57" s="266"/>
      <c r="K57" s="280"/>
      <c r="L57" s="266"/>
      <c r="M57" s="266"/>
      <c r="N57" s="266"/>
      <c r="O57" s="346"/>
      <c r="P57" s="250"/>
    </row>
    <row r="58" spans="1:18" ht="15" customHeight="1" thickBot="1" x14ac:dyDescent="0.3">
      <c r="A58" s="333"/>
      <c r="B58" s="342"/>
      <c r="C58" s="274"/>
      <c r="D58" s="274"/>
      <c r="E58" s="274"/>
      <c r="F58" s="274"/>
      <c r="G58" s="274"/>
      <c r="H58" s="274"/>
      <c r="I58" s="275"/>
      <c r="J58" s="274"/>
      <c r="K58" s="275"/>
      <c r="L58" s="274"/>
      <c r="M58" s="274"/>
      <c r="N58" s="274"/>
      <c r="O58" s="274"/>
      <c r="P58" s="343"/>
      <c r="Q58" s="333"/>
      <c r="R58" s="333"/>
    </row>
    <row r="59" spans="1:18" ht="15.75" thickBot="1" x14ac:dyDescent="0.3">
      <c r="B59" s="247"/>
      <c r="C59" s="266"/>
      <c r="D59" s="266"/>
      <c r="E59" s="266"/>
      <c r="F59" s="266"/>
      <c r="G59" s="335" t="s">
        <v>338</v>
      </c>
      <c r="H59" s="266"/>
      <c r="I59" s="335" t="s">
        <v>355</v>
      </c>
      <c r="L59" s="266"/>
      <c r="M59" s="335"/>
      <c r="N59" s="266"/>
      <c r="O59" s="266"/>
      <c r="P59" s="250"/>
    </row>
    <row r="60" spans="1:18" ht="15.75" thickBot="1" x14ac:dyDescent="0.3">
      <c r="B60" s="247"/>
      <c r="C60" s="345" t="s">
        <v>340</v>
      </c>
      <c r="D60" s="266"/>
      <c r="E60" s="266"/>
      <c r="F60" s="266" t="s">
        <v>29</v>
      </c>
      <c r="G60" s="224"/>
      <c r="H60" s="266"/>
      <c r="I60" s="224"/>
      <c r="L60" s="266"/>
      <c r="M60" s="266"/>
      <c r="N60" s="266"/>
      <c r="O60" s="266"/>
      <c r="P60" s="250"/>
    </row>
    <row r="61" spans="1:18" ht="5.0999999999999996" customHeight="1" thickBot="1" x14ac:dyDescent="0.3">
      <c r="B61" s="252"/>
      <c r="C61" s="254"/>
      <c r="D61" s="254"/>
      <c r="E61" s="254"/>
      <c r="F61" s="254"/>
      <c r="G61" s="254"/>
      <c r="H61" s="254"/>
      <c r="I61" s="254"/>
      <c r="J61" s="254"/>
      <c r="K61" s="254"/>
      <c r="L61" s="254"/>
      <c r="M61" s="254"/>
      <c r="N61" s="254"/>
      <c r="O61" s="254"/>
      <c r="P61" s="256"/>
    </row>
    <row r="62" spans="1:18" ht="30" customHeight="1" thickBot="1" x14ac:dyDescent="0.3"/>
    <row r="63" spans="1:18" ht="5.0999999999999996" customHeight="1" x14ac:dyDescent="0.25">
      <c r="B63" s="243"/>
      <c r="C63" s="338"/>
      <c r="D63" s="244"/>
      <c r="E63" s="244"/>
      <c r="F63" s="244"/>
      <c r="G63" s="244"/>
      <c r="H63" s="244"/>
      <c r="I63" s="339"/>
      <c r="J63" s="244"/>
      <c r="K63" s="339"/>
      <c r="L63" s="244"/>
      <c r="M63" s="244"/>
      <c r="N63" s="244"/>
      <c r="O63" s="244"/>
      <c r="P63" s="246"/>
    </row>
    <row r="64" spans="1:18" x14ac:dyDescent="0.25">
      <c r="B64" s="247"/>
      <c r="C64" s="340" t="s">
        <v>361</v>
      </c>
      <c r="D64" s="340"/>
      <c r="E64" s="340"/>
      <c r="I64" s="242"/>
      <c r="K64" s="242"/>
      <c r="O64" s="341"/>
      <c r="P64" s="250"/>
    </row>
    <row r="65" spans="1:18" ht="15.75" thickBot="1" x14ac:dyDescent="0.3">
      <c r="A65" s="333"/>
      <c r="B65" s="342"/>
      <c r="C65" s="274"/>
      <c r="D65" s="274"/>
      <c r="E65" s="274"/>
      <c r="F65" s="274"/>
      <c r="G65" s="350"/>
      <c r="H65" s="274"/>
      <c r="I65" s="275"/>
      <c r="J65" s="274"/>
      <c r="K65" s="275"/>
      <c r="L65" s="274"/>
      <c r="M65" s="274"/>
      <c r="N65" s="274"/>
      <c r="O65" s="274"/>
      <c r="P65" s="343"/>
      <c r="Q65" s="333"/>
      <c r="R65" s="333"/>
    </row>
    <row r="66" spans="1:18" ht="15.75" thickBot="1" x14ac:dyDescent="0.3">
      <c r="B66" s="243"/>
      <c r="C66" s="244"/>
      <c r="D66" s="244"/>
      <c r="E66" s="244"/>
      <c r="F66" s="244"/>
      <c r="G66" s="344" t="s">
        <v>339</v>
      </c>
      <c r="H66" s="244"/>
      <c r="I66" s="344" t="s">
        <v>356</v>
      </c>
      <c r="J66" s="244"/>
      <c r="K66" s="344" t="s">
        <v>357</v>
      </c>
      <c r="L66" s="244"/>
      <c r="M66" s="344" t="s">
        <v>355</v>
      </c>
      <c r="N66" s="244"/>
      <c r="O66" s="244"/>
      <c r="P66" s="246"/>
    </row>
    <row r="67" spans="1:18" ht="15.75" thickBot="1" x14ac:dyDescent="0.3">
      <c r="B67" s="247"/>
      <c r="C67" s="345" t="s">
        <v>340</v>
      </c>
      <c r="D67" s="266"/>
      <c r="E67" s="266"/>
      <c r="F67" s="266" t="s">
        <v>29</v>
      </c>
      <c r="G67" s="224"/>
      <c r="H67" s="266"/>
      <c r="I67" s="224"/>
      <c r="J67" s="266"/>
      <c r="K67" s="224"/>
      <c r="L67" s="266"/>
      <c r="M67" s="224"/>
      <c r="N67" s="266"/>
      <c r="O67" s="266"/>
      <c r="P67" s="250"/>
    </row>
    <row r="68" spans="1:18" ht="15.75" thickBot="1" x14ac:dyDescent="0.3">
      <c r="B68" s="351"/>
      <c r="C68" s="266"/>
      <c r="D68" s="266"/>
      <c r="E68" s="266"/>
      <c r="F68" s="266"/>
      <c r="G68" s="335" t="s">
        <v>342</v>
      </c>
      <c r="H68" s="266"/>
      <c r="I68" s="266"/>
      <c r="J68" s="266"/>
      <c r="K68" s="266"/>
      <c r="L68" s="266"/>
      <c r="M68" s="266"/>
      <c r="N68" s="266"/>
      <c r="O68" s="266"/>
      <c r="P68" s="250"/>
    </row>
    <row r="69" spans="1:18" ht="15.75" thickBot="1" x14ac:dyDescent="0.3">
      <c r="B69" s="247"/>
      <c r="C69" s="345" t="s">
        <v>341</v>
      </c>
      <c r="D69" s="266"/>
      <c r="E69" s="266"/>
      <c r="F69" s="266" t="s">
        <v>29</v>
      </c>
      <c r="G69" s="224"/>
      <c r="H69" s="266"/>
      <c r="I69" s="266"/>
      <c r="J69" s="266"/>
      <c r="K69" s="266"/>
      <c r="L69" s="266"/>
      <c r="M69" s="266"/>
      <c r="N69" s="266"/>
      <c r="O69" s="266"/>
      <c r="P69" s="250"/>
    </row>
    <row r="70" spans="1:18" ht="15.75" thickBot="1" x14ac:dyDescent="0.3">
      <c r="B70" s="247"/>
      <c r="C70" s="345"/>
      <c r="D70" s="266"/>
      <c r="E70" s="266"/>
      <c r="F70" s="266"/>
      <c r="G70" s="274" t="s">
        <v>478</v>
      </c>
      <c r="H70" s="266"/>
      <c r="I70" s="266"/>
      <c r="J70" s="266"/>
      <c r="K70" s="266"/>
      <c r="L70" s="266"/>
      <c r="M70" s="266"/>
      <c r="N70" s="266"/>
      <c r="O70" s="266"/>
      <c r="P70" s="250"/>
    </row>
    <row r="71" spans="1:18" ht="15.75" thickBot="1" x14ac:dyDescent="0.3">
      <c r="B71" s="247"/>
      <c r="C71" s="345" t="s">
        <v>477</v>
      </c>
      <c r="D71" s="266"/>
      <c r="E71" s="266"/>
      <c r="F71" s="266" t="s">
        <v>60</v>
      </c>
      <c r="G71" s="224"/>
      <c r="H71" s="266"/>
      <c r="I71" s="266"/>
      <c r="J71" s="266"/>
      <c r="K71" s="266"/>
      <c r="L71" s="266"/>
      <c r="M71" s="266"/>
      <c r="N71" s="266"/>
      <c r="O71" s="266"/>
      <c r="P71" s="250"/>
    </row>
    <row r="72" spans="1:18" ht="15.75" thickBot="1" x14ac:dyDescent="0.3">
      <c r="B72" s="247"/>
      <c r="G72" s="352" t="s">
        <v>392</v>
      </c>
      <c r="H72" s="266"/>
      <c r="I72" s="352" t="s">
        <v>393</v>
      </c>
      <c r="J72" s="266"/>
      <c r="K72" s="266"/>
      <c r="L72" s="266"/>
      <c r="M72" s="266"/>
      <c r="N72" s="266"/>
      <c r="O72" s="266"/>
      <c r="P72" s="250"/>
    </row>
    <row r="73" spans="1:18" ht="15.75" thickBot="1" x14ac:dyDescent="0.3">
      <c r="B73" s="247"/>
      <c r="C73" s="345" t="s">
        <v>391</v>
      </c>
      <c r="D73" s="266"/>
      <c r="E73" s="266"/>
      <c r="F73" s="266" t="s">
        <v>60</v>
      </c>
      <c r="G73" s="224"/>
      <c r="H73" s="266"/>
      <c r="I73" s="224"/>
      <c r="J73" s="266"/>
      <c r="K73" s="266"/>
      <c r="L73" s="266"/>
      <c r="M73" s="266"/>
      <c r="N73" s="266"/>
      <c r="O73" s="266"/>
      <c r="P73" s="250"/>
    </row>
    <row r="74" spans="1:18" ht="5.0999999999999996" customHeight="1" thickBot="1" x14ac:dyDescent="0.3">
      <c r="B74" s="252"/>
      <c r="C74" s="254"/>
      <c r="D74" s="254"/>
      <c r="E74" s="254"/>
      <c r="F74" s="254"/>
      <c r="G74" s="254"/>
      <c r="H74" s="254"/>
      <c r="I74" s="254"/>
      <c r="J74" s="254"/>
      <c r="K74" s="254"/>
      <c r="L74" s="254"/>
      <c r="M74" s="254"/>
      <c r="N74" s="254"/>
      <c r="O74" s="254"/>
      <c r="P74" s="256"/>
    </row>
    <row r="75" spans="1:18" ht="30" customHeight="1" thickBot="1" x14ac:dyDescent="0.3"/>
    <row r="76" spans="1:18" ht="5.0999999999999996" customHeight="1" x14ac:dyDescent="0.25">
      <c r="B76" s="243"/>
      <c r="C76" s="338"/>
      <c r="D76" s="244"/>
      <c r="E76" s="244"/>
      <c r="F76" s="244"/>
      <c r="G76" s="244"/>
      <c r="H76" s="244"/>
      <c r="I76" s="339"/>
      <c r="J76" s="244"/>
      <c r="K76" s="339"/>
      <c r="L76" s="244"/>
      <c r="M76" s="244"/>
      <c r="N76" s="244"/>
      <c r="O76" s="244"/>
      <c r="P76" s="246"/>
    </row>
    <row r="77" spans="1:18" x14ac:dyDescent="0.25">
      <c r="B77" s="247"/>
      <c r="C77" s="340" t="s">
        <v>362</v>
      </c>
      <c r="D77" s="340"/>
      <c r="E77" s="340"/>
      <c r="I77" s="242"/>
      <c r="K77" s="242"/>
      <c r="O77" s="341"/>
      <c r="P77" s="250"/>
    </row>
    <row r="78" spans="1:18" ht="15.75" thickBot="1" x14ac:dyDescent="0.3">
      <c r="A78" s="333"/>
      <c r="B78" s="342"/>
      <c r="C78" s="274"/>
      <c r="D78" s="274"/>
      <c r="E78" s="274"/>
      <c r="F78" s="274"/>
      <c r="G78" s="274"/>
      <c r="H78" s="274"/>
      <c r="I78" s="275"/>
      <c r="J78" s="274"/>
      <c r="K78" s="275"/>
      <c r="L78" s="274"/>
      <c r="M78" s="274"/>
      <c r="N78" s="274"/>
      <c r="O78" s="274"/>
      <c r="P78" s="343"/>
      <c r="Q78" s="333"/>
      <c r="R78" s="333"/>
    </row>
    <row r="79" spans="1:18" ht="15.75" thickBot="1" x14ac:dyDescent="0.3">
      <c r="B79" s="243"/>
      <c r="C79" s="244"/>
      <c r="D79" s="244"/>
      <c r="E79" s="244"/>
      <c r="F79" s="244"/>
      <c r="G79" s="344" t="s">
        <v>346</v>
      </c>
      <c r="H79" s="244"/>
      <c r="I79" s="344" t="s">
        <v>347</v>
      </c>
      <c r="J79" s="244"/>
      <c r="K79" s="244"/>
      <c r="L79" s="244"/>
      <c r="M79" s="244"/>
      <c r="N79" s="244"/>
      <c r="O79" s="244"/>
      <c r="P79" s="246"/>
    </row>
    <row r="80" spans="1:18" ht="15.75" thickBot="1" x14ac:dyDescent="0.3">
      <c r="B80" s="247"/>
      <c r="C80" s="345" t="s">
        <v>343</v>
      </c>
      <c r="D80" s="266"/>
      <c r="E80" s="266"/>
      <c r="F80" s="266" t="s">
        <v>60</v>
      </c>
      <c r="G80" s="225"/>
      <c r="H80" s="266"/>
      <c r="I80" s="224"/>
      <c r="J80" s="266"/>
      <c r="K80" s="266"/>
      <c r="L80" s="266"/>
      <c r="M80" s="266"/>
      <c r="N80" s="266"/>
      <c r="O80" s="266"/>
      <c r="P80" s="250"/>
    </row>
    <row r="81" spans="1:18" ht="15.75" thickBot="1" x14ac:dyDescent="0.3">
      <c r="B81" s="247"/>
      <c r="C81" s="345"/>
      <c r="D81" s="266"/>
      <c r="E81" s="266"/>
      <c r="F81" s="266"/>
      <c r="G81" s="349"/>
      <c r="H81" s="266"/>
      <c r="I81" s="266"/>
      <c r="J81" s="266"/>
      <c r="K81" s="266"/>
      <c r="L81" s="266"/>
      <c r="M81" s="266"/>
      <c r="N81" s="266"/>
      <c r="O81" s="266"/>
      <c r="P81" s="250"/>
    </row>
    <row r="82" spans="1:18" x14ac:dyDescent="0.25">
      <c r="B82" s="247"/>
      <c r="C82" s="345" t="s">
        <v>344</v>
      </c>
      <c r="D82" s="266"/>
      <c r="E82" s="266"/>
      <c r="F82" s="266" t="s">
        <v>59</v>
      </c>
      <c r="G82" s="221"/>
      <c r="H82" s="266"/>
      <c r="I82" s="266"/>
      <c r="J82" s="266"/>
      <c r="K82" s="266"/>
      <c r="L82" s="266"/>
      <c r="M82" s="266"/>
      <c r="N82" s="266"/>
      <c r="O82" s="266"/>
      <c r="P82" s="250"/>
    </row>
    <row r="83" spans="1:18" ht="15.75" thickBot="1" x14ac:dyDescent="0.3">
      <c r="B83" s="247"/>
      <c r="C83" s="345" t="s">
        <v>345</v>
      </c>
      <c r="D83" s="266"/>
      <c r="E83" s="266"/>
      <c r="F83" s="266" t="s">
        <v>59</v>
      </c>
      <c r="G83" s="219"/>
      <c r="H83" s="266"/>
      <c r="I83" s="266"/>
      <c r="J83" s="266"/>
      <c r="K83" s="266"/>
      <c r="L83" s="266"/>
      <c r="M83" s="266"/>
      <c r="N83" s="266"/>
      <c r="O83" s="266"/>
      <c r="P83" s="250"/>
    </row>
    <row r="84" spans="1:18" ht="5.0999999999999996" customHeight="1" thickBot="1" x14ac:dyDescent="0.3">
      <c r="B84" s="252"/>
      <c r="C84" s="254"/>
      <c r="D84" s="254"/>
      <c r="E84" s="254"/>
      <c r="F84" s="254"/>
      <c r="G84" s="254"/>
      <c r="H84" s="254"/>
      <c r="I84" s="254"/>
      <c r="J84" s="254"/>
      <c r="K84" s="254"/>
      <c r="L84" s="254"/>
      <c r="M84" s="254"/>
      <c r="N84" s="254"/>
      <c r="O84" s="254"/>
      <c r="P84" s="256"/>
    </row>
    <row r="85" spans="1:18" ht="30" customHeight="1" thickBot="1" x14ac:dyDescent="0.3"/>
    <row r="86" spans="1:18" ht="5.0999999999999996" customHeight="1" x14ac:dyDescent="0.25">
      <c r="B86" s="243"/>
      <c r="C86" s="338"/>
      <c r="D86" s="244"/>
      <c r="E86" s="244"/>
      <c r="F86" s="244"/>
      <c r="G86" s="244"/>
      <c r="H86" s="244"/>
      <c r="I86" s="339"/>
      <c r="J86" s="244"/>
      <c r="K86" s="339"/>
      <c r="L86" s="244"/>
      <c r="M86" s="244"/>
      <c r="N86" s="244"/>
      <c r="O86" s="244"/>
      <c r="P86" s="246"/>
    </row>
    <row r="87" spans="1:18" ht="15" customHeight="1" x14ac:dyDescent="0.25">
      <c r="B87" s="247"/>
      <c r="C87" s="340" t="s">
        <v>353</v>
      </c>
      <c r="D87" s="340"/>
      <c r="E87" s="340"/>
      <c r="I87" s="242"/>
      <c r="K87" s="242"/>
      <c r="O87" s="341"/>
      <c r="P87" s="250"/>
    </row>
    <row r="88" spans="1:18" ht="15" customHeight="1" thickBot="1" x14ac:dyDescent="0.3">
      <c r="A88" s="333"/>
      <c r="B88" s="342"/>
      <c r="C88" s="274"/>
      <c r="D88" s="274"/>
      <c r="E88" s="274"/>
      <c r="F88" s="274"/>
      <c r="G88" s="274"/>
      <c r="H88" s="274"/>
      <c r="I88" s="275"/>
      <c r="J88" s="274"/>
      <c r="K88" s="275"/>
      <c r="L88" s="274"/>
      <c r="M88" s="274"/>
      <c r="N88" s="274"/>
      <c r="O88" s="274"/>
      <c r="P88" s="343"/>
      <c r="Q88" s="333"/>
      <c r="R88" s="333"/>
    </row>
    <row r="89" spans="1:18" ht="15.75" thickBot="1" x14ac:dyDescent="0.3">
      <c r="B89" s="243"/>
      <c r="C89" s="244"/>
      <c r="D89" s="244"/>
      <c r="E89" s="244"/>
      <c r="F89" s="244"/>
      <c r="G89" s="244"/>
      <c r="H89" s="244"/>
      <c r="I89" s="244"/>
      <c r="J89" s="244"/>
      <c r="K89" s="244"/>
      <c r="L89" s="244"/>
      <c r="M89" s="244"/>
      <c r="N89" s="244"/>
      <c r="O89" s="244"/>
      <c r="P89" s="246"/>
    </row>
    <row r="90" spans="1:18" x14ac:dyDescent="0.25">
      <c r="B90" s="247"/>
      <c r="C90" s="345" t="s">
        <v>343</v>
      </c>
      <c r="D90" s="266"/>
      <c r="E90" s="266"/>
      <c r="F90" s="266" t="s">
        <v>60</v>
      </c>
      <c r="G90" s="217"/>
      <c r="H90" s="266"/>
      <c r="I90" s="266"/>
      <c r="J90" s="266"/>
      <c r="K90" s="266"/>
      <c r="L90" s="266"/>
      <c r="M90" s="266"/>
      <c r="N90" s="266"/>
      <c r="O90" s="266"/>
      <c r="P90" s="250"/>
    </row>
    <row r="91" spans="1:18" x14ac:dyDescent="0.25">
      <c r="B91" s="247"/>
      <c r="C91" s="345" t="s">
        <v>344</v>
      </c>
      <c r="D91" s="266"/>
      <c r="E91" s="266"/>
      <c r="F91" s="266" t="s">
        <v>59</v>
      </c>
      <c r="G91" s="218"/>
      <c r="H91" s="266"/>
      <c r="I91" s="266"/>
      <c r="J91" s="266"/>
      <c r="K91" s="266"/>
      <c r="L91" s="266"/>
      <c r="M91" s="266"/>
      <c r="N91" s="266"/>
      <c r="O91" s="266"/>
      <c r="P91" s="250"/>
    </row>
    <row r="92" spans="1:18" ht="15.75" thickBot="1" x14ac:dyDescent="0.3">
      <c r="B92" s="247"/>
      <c r="C92" s="345" t="s">
        <v>345</v>
      </c>
      <c r="D92" s="266"/>
      <c r="E92" s="266"/>
      <c r="F92" s="266" t="s">
        <v>59</v>
      </c>
      <c r="G92" s="219"/>
      <c r="H92" s="266"/>
      <c r="I92" s="266"/>
      <c r="J92" s="266"/>
      <c r="K92" s="266"/>
      <c r="L92" s="266"/>
      <c r="M92" s="266"/>
      <c r="N92" s="266"/>
      <c r="O92" s="266"/>
      <c r="P92" s="250"/>
    </row>
    <row r="93" spans="1:18" ht="5.0999999999999996" customHeight="1" thickBot="1" x14ac:dyDescent="0.3">
      <c r="B93" s="252"/>
      <c r="C93" s="254"/>
      <c r="D93" s="254"/>
      <c r="E93" s="254"/>
      <c r="F93" s="254"/>
      <c r="G93" s="254"/>
      <c r="H93" s="254"/>
      <c r="I93" s="254"/>
      <c r="J93" s="254"/>
      <c r="K93" s="254"/>
      <c r="L93" s="254"/>
      <c r="M93" s="254"/>
      <c r="N93" s="254"/>
      <c r="O93" s="254"/>
      <c r="P93" s="256"/>
    </row>
    <row r="94" spans="1:18" ht="30" customHeight="1" thickBot="1" x14ac:dyDescent="0.3"/>
    <row r="95" spans="1:18" ht="5.0999999999999996" customHeight="1" x14ac:dyDescent="0.25">
      <c r="B95" s="257"/>
      <c r="C95" s="258"/>
      <c r="D95" s="259"/>
      <c r="E95" s="259"/>
      <c r="F95" s="259"/>
      <c r="G95" s="259"/>
      <c r="H95" s="259"/>
      <c r="I95" s="259"/>
      <c r="J95" s="245"/>
      <c r="K95" s="259"/>
      <c r="L95" s="259"/>
      <c r="M95" s="259"/>
      <c r="N95" s="259"/>
      <c r="O95" s="259"/>
      <c r="P95" s="261"/>
    </row>
    <row r="96" spans="1:18" x14ac:dyDescent="0.25">
      <c r="B96" s="262"/>
      <c r="C96" s="263" t="s">
        <v>61</v>
      </c>
      <c r="D96" s="264"/>
      <c r="E96" s="264"/>
      <c r="F96" s="264"/>
      <c r="H96" s="264"/>
      <c r="I96" s="264"/>
      <c r="J96" s="353" t="s">
        <v>62</v>
      </c>
      <c r="K96" s="264"/>
      <c r="L96" s="264"/>
      <c r="M96" s="266"/>
      <c r="N96" s="266"/>
      <c r="O96" s="264"/>
      <c r="P96" s="268"/>
      <c r="Q96" s="348"/>
    </row>
    <row r="97" spans="1:19" ht="15.75" thickBot="1" x14ac:dyDescent="0.3">
      <c r="A97" s="251"/>
      <c r="B97" s="354"/>
      <c r="C97" s="271" t="s">
        <v>56</v>
      </c>
      <c r="D97" s="271" t="s">
        <v>55</v>
      </c>
      <c r="E97" s="355"/>
      <c r="F97" s="356"/>
      <c r="G97" s="356"/>
      <c r="H97" s="356"/>
      <c r="I97" s="272"/>
      <c r="J97" s="255"/>
      <c r="K97" s="254"/>
      <c r="L97" s="271"/>
      <c r="M97" s="271"/>
      <c r="N97" s="271"/>
      <c r="O97" s="271"/>
      <c r="P97" s="357"/>
    </row>
    <row r="98" spans="1:19" x14ac:dyDescent="0.25">
      <c r="A98" s="251"/>
      <c r="B98" s="358"/>
      <c r="C98" s="298"/>
      <c r="D98" s="359" t="s">
        <v>470</v>
      </c>
      <c r="E98" s="360"/>
      <c r="F98" s="264"/>
      <c r="G98" s="264"/>
      <c r="H98" s="264"/>
      <c r="I98" s="299"/>
      <c r="J98" s="431">
        <f>SUM('Voorb. werkzaamheden'!O15,G21,G22)</f>
        <v>0</v>
      </c>
      <c r="K98" s="431"/>
      <c r="L98" s="298"/>
      <c r="M98" s="298"/>
      <c r="N98" s="298"/>
      <c r="O98" s="298"/>
      <c r="P98" s="268"/>
    </row>
    <row r="99" spans="1:19" x14ac:dyDescent="0.25">
      <c r="B99" s="262"/>
      <c r="D99" s="265" t="s">
        <v>63</v>
      </c>
      <c r="E99" s="263"/>
      <c r="F99" s="264"/>
      <c r="G99" s="264"/>
      <c r="H99" s="264"/>
      <c r="I99" s="264"/>
      <c r="J99" s="408">
        <f>SUM(Grondwerk!O19,Grondwerk!O31,Grondwerk!O43,G23)</f>
        <v>0</v>
      </c>
      <c r="K99" s="408"/>
      <c r="L99" s="264"/>
      <c r="M99" s="264"/>
      <c r="N99" s="264"/>
      <c r="O99" s="264"/>
      <c r="P99" s="268"/>
      <c r="Q99" s="348"/>
      <c r="S99" s="332"/>
    </row>
    <row r="100" spans="1:19" x14ac:dyDescent="0.25">
      <c r="B100" s="262"/>
      <c r="D100" s="265" t="s">
        <v>64</v>
      </c>
      <c r="E100" s="264"/>
      <c r="F100" s="264"/>
      <c r="G100" s="264"/>
      <c r="H100" s="264"/>
      <c r="I100" s="264"/>
      <c r="J100" s="408">
        <f>SUM(Riolering!O27,Riolering!O47,Riolering!O75,Riolering!O103,Riolering!O131,Riolering!O159,Riolering!O187,Riolering!O205,Riolering!O223,Riolering!O236,Riolering!O250,G24)</f>
        <v>0</v>
      </c>
      <c r="K100" s="408"/>
      <c r="L100" s="264"/>
      <c r="M100" s="264"/>
      <c r="N100" s="264"/>
      <c r="O100" s="264"/>
      <c r="P100" s="268"/>
      <c r="Q100" s="348"/>
      <c r="S100" s="332"/>
    </row>
    <row r="101" spans="1:19" x14ac:dyDescent="0.25">
      <c r="B101" s="262"/>
      <c r="D101" s="265" t="s">
        <v>275</v>
      </c>
      <c r="E101" s="264"/>
      <c r="F101" s="264"/>
      <c r="G101" s="264"/>
      <c r="H101" s="264"/>
      <c r="I101" s="264"/>
      <c r="J101" s="408">
        <f>SUM(Fundering!O21,Fundering!O35,Fundering!O49,Fundering!O63,Fundering!O77)</f>
        <v>0</v>
      </c>
      <c r="K101" s="408"/>
      <c r="L101" s="264"/>
      <c r="M101" s="264"/>
      <c r="N101" s="264"/>
      <c r="O101" s="264"/>
      <c r="P101" s="268"/>
      <c r="Q101" s="348"/>
      <c r="S101" s="332"/>
    </row>
    <row r="102" spans="1:19" x14ac:dyDescent="0.25">
      <c r="B102" s="262"/>
      <c r="D102" s="265" t="s">
        <v>65</v>
      </c>
      <c r="E102" s="264"/>
      <c r="F102" s="264"/>
      <c r="G102" s="264"/>
      <c r="H102" s="264"/>
      <c r="I102" s="264"/>
      <c r="J102" s="408">
        <f>SUM(Verharding!O27,Verharding!O47,Verharding!O63,Verharding!O76,Verharding!O92,Verharding!O160,Verharding!O192,Verharding!O225,Verharding!O266,Verharding!O307,Verharding!O350,Verharding!O379,Verharding!O408,Verharding!O459,Verharding!O509,Verharding!O526)</f>
        <v>0</v>
      </c>
      <c r="K102" s="408"/>
      <c r="L102" s="264"/>
      <c r="M102" s="264"/>
      <c r="N102" s="264"/>
      <c r="O102" s="264"/>
      <c r="P102" s="268"/>
      <c r="Q102" s="348"/>
      <c r="S102" s="332"/>
    </row>
    <row r="103" spans="1:19" x14ac:dyDescent="0.25">
      <c r="B103" s="262"/>
      <c r="D103" s="265" t="s">
        <v>66</v>
      </c>
      <c r="E103" s="264"/>
      <c r="F103" s="264"/>
      <c r="G103" s="264"/>
      <c r="H103" s="264"/>
      <c r="I103" s="264"/>
      <c r="J103" s="408">
        <f>SUM(Groen!O22,Groen!O37,Groen!O51,Groen!O59,Groen!O73,Groen!O88)</f>
        <v>0</v>
      </c>
      <c r="K103" s="408"/>
      <c r="L103" s="264"/>
      <c r="M103" s="264"/>
      <c r="N103" s="264"/>
      <c r="O103" s="264"/>
      <c r="P103" s="268"/>
      <c r="Q103" s="348"/>
      <c r="S103" s="332"/>
    </row>
    <row r="104" spans="1:19" x14ac:dyDescent="0.25">
      <c r="B104" s="262"/>
      <c r="D104" s="265" t="s">
        <v>384</v>
      </c>
      <c r="E104" s="264"/>
      <c r="F104" s="264"/>
      <c r="G104" s="264"/>
      <c r="H104" s="264"/>
      <c r="I104" s="264"/>
      <c r="J104" s="408">
        <f>SUM(G25,G26)</f>
        <v>0</v>
      </c>
      <c r="K104" s="408"/>
      <c r="L104" s="264"/>
      <c r="M104" s="264"/>
      <c r="N104" s="264"/>
      <c r="O104" s="264"/>
      <c r="P104" s="268"/>
      <c r="Q104" s="348"/>
      <c r="S104" s="332"/>
    </row>
    <row r="105" spans="1:19" x14ac:dyDescent="0.25">
      <c r="B105" s="262"/>
      <c r="D105" s="265" t="s">
        <v>385</v>
      </c>
      <c r="E105" s="264"/>
      <c r="F105" s="264"/>
      <c r="G105" s="264"/>
      <c r="H105" s="264"/>
      <c r="I105" s="264"/>
      <c r="J105" s="437">
        <f>SUM(G27,G28,G29)</f>
        <v>0</v>
      </c>
      <c r="K105" s="437"/>
      <c r="L105" s="264"/>
      <c r="M105" s="264"/>
      <c r="N105" s="264"/>
      <c r="O105" s="264"/>
      <c r="P105" s="268"/>
      <c r="Q105" s="348"/>
      <c r="S105" s="332"/>
    </row>
    <row r="106" spans="1:19" x14ac:dyDescent="0.25">
      <c r="A106" s="251"/>
      <c r="B106" s="361"/>
      <c r="C106" s="362"/>
      <c r="D106" s="363" t="s">
        <v>19</v>
      </c>
      <c r="E106" s="364"/>
      <c r="F106" s="365"/>
      <c r="G106" s="366"/>
      <c r="H106" s="365"/>
      <c r="I106" s="367"/>
      <c r="J106" s="436">
        <f>SUM(J98:K105)</f>
        <v>0</v>
      </c>
      <c r="K106" s="436"/>
      <c r="L106" s="365"/>
      <c r="M106" s="365"/>
      <c r="N106" s="365"/>
      <c r="O106" s="365"/>
      <c r="P106" s="368"/>
    </row>
    <row r="107" spans="1:19" ht="5.0999999999999996" customHeight="1" thickBot="1" x14ac:dyDescent="0.3">
      <c r="B107" s="369"/>
      <c r="C107" s="356"/>
      <c r="D107" s="356"/>
      <c r="E107" s="356"/>
      <c r="F107" s="356"/>
      <c r="G107" s="356"/>
      <c r="H107" s="356"/>
      <c r="I107" s="356"/>
      <c r="J107" s="255"/>
      <c r="K107" s="356"/>
      <c r="L107" s="356"/>
      <c r="M107" s="356"/>
      <c r="N107" s="356"/>
      <c r="O107" s="356"/>
      <c r="P107" s="357"/>
    </row>
  </sheetData>
  <sheetProtection password="C44E" sheet="1" selectLockedCells="1"/>
  <mergeCells count="20">
    <mergeCell ref="J106:K106"/>
    <mergeCell ref="J100:K100"/>
    <mergeCell ref="J101:K101"/>
    <mergeCell ref="J102:K102"/>
    <mergeCell ref="J103:K103"/>
    <mergeCell ref="J104:K104"/>
    <mergeCell ref="J105:K105"/>
    <mergeCell ref="D6:E6"/>
    <mergeCell ref="C14:F14"/>
    <mergeCell ref="J98:K98"/>
    <mergeCell ref="J99:K99"/>
    <mergeCell ref="G25:H25"/>
    <mergeCell ref="G21:H21"/>
    <mergeCell ref="G26:H26"/>
    <mergeCell ref="G28:H28"/>
    <mergeCell ref="G29:H29"/>
    <mergeCell ref="G22:H22"/>
    <mergeCell ref="G23:H23"/>
    <mergeCell ref="G24:H24"/>
    <mergeCell ref="G27:H27"/>
  </mergeCells>
  <phoneticPr fontId="0" type="noConversion"/>
  <printOptions horizontalCentered="1"/>
  <pageMargins left="0.78740157480314965" right="0.59055118110236227" top="0.98425196850393704" bottom="0.98425196850393704" header="0.51181102362204722" footer="0.51181102362204722"/>
  <pageSetup paperSize="9" scale="85" orientation="portrait" r:id="rId1"/>
  <headerFooter alignWithMargins="0">
    <oddFooter>&amp;L&amp;G
projectnummer: 0509&amp;Rconcept: 11 april 2007
blad &amp;P van &amp;N</oddFooter>
  </headerFooter>
  <rowBreaks count="1" manualBreakCount="1">
    <brk id="62" min="1" max="15"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4353" r:id="rId5" name="Drop Down 17">
              <controlPr locked="0" defaultSize="0" autoFill="0" autoLine="0" autoPict="0">
                <anchor moveWithCells="1">
                  <from>
                    <xdr:col>2</xdr:col>
                    <xdr:colOff>0</xdr:colOff>
                    <xdr:row>13</xdr:row>
                    <xdr:rowOff>0</xdr:rowOff>
                  </from>
                  <to>
                    <xdr:col>6</xdr:col>
                    <xdr:colOff>0</xdr:colOff>
                    <xdr:row>14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B1:L13"/>
  <sheetViews>
    <sheetView showGridLines="0" zoomScaleNormal="85" zoomScaleSheetLayoutView="115" workbookViewId="0">
      <selection activeCell="E18" sqref="E18"/>
    </sheetView>
  </sheetViews>
  <sheetFormatPr defaultRowHeight="15" x14ac:dyDescent="0.25"/>
  <cols>
    <col min="1" max="1" width="1.85546875" customWidth="1"/>
    <col min="2" max="2" width="3" customWidth="1"/>
    <col min="10" max="10" width="13.42578125" customWidth="1"/>
    <col min="11" max="11" width="16" customWidth="1"/>
  </cols>
  <sheetData>
    <row r="1" spans="2:12" s="241" customFormat="1" ht="15.75" thickBot="1" x14ac:dyDescent="0.3">
      <c r="I1" s="242"/>
    </row>
    <row r="2" spans="2:12" s="241" customFormat="1" ht="5.0999999999999996" customHeight="1" x14ac:dyDescent="0.25">
      <c r="B2" s="243"/>
      <c r="C2" s="244"/>
      <c r="D2" s="244"/>
      <c r="E2" s="244"/>
      <c r="F2" s="244"/>
      <c r="G2" s="244"/>
      <c r="H2" s="244"/>
      <c r="I2" s="244"/>
      <c r="J2" s="245"/>
      <c r="K2" s="244"/>
      <c r="L2" s="246"/>
    </row>
    <row r="3" spans="2:12" s="241" customFormat="1" ht="18.75" x14ac:dyDescent="0.3">
      <c r="B3" s="247"/>
      <c r="C3" s="248" t="s">
        <v>496</v>
      </c>
      <c r="D3" s="248"/>
      <c r="E3" s="248"/>
      <c r="F3" s="248"/>
      <c r="G3" s="248"/>
      <c r="J3" s="249"/>
      <c r="L3" s="250"/>
    </row>
    <row r="4" spans="2:12" s="241" customFormat="1" x14ac:dyDescent="0.25">
      <c r="B4" s="247"/>
      <c r="C4" s="251" t="s">
        <v>27</v>
      </c>
      <c r="D4" s="251"/>
      <c r="E4" s="251"/>
      <c r="F4" s="251"/>
      <c r="G4" s="251"/>
      <c r="H4" s="251"/>
      <c r="I4" s="251"/>
      <c r="J4" s="251"/>
      <c r="L4" s="250"/>
    </row>
    <row r="5" spans="2:12" s="241" customFormat="1" ht="18.75" x14ac:dyDescent="0.3">
      <c r="B5" s="247"/>
      <c r="C5" s="248"/>
      <c r="J5" s="249"/>
      <c r="L5" s="250"/>
    </row>
    <row r="6" spans="2:12" s="241" customFormat="1" x14ac:dyDescent="0.25">
      <c r="B6" s="247"/>
      <c r="C6" s="300" t="s">
        <v>1</v>
      </c>
      <c r="D6" s="440">
        <f>+Samenvatting!$E$6</f>
        <v>43186</v>
      </c>
      <c r="E6" s="440"/>
      <c r="J6" s="249"/>
      <c r="L6" s="250"/>
    </row>
    <row r="7" spans="2:12" s="241" customFormat="1" x14ac:dyDescent="0.25">
      <c r="B7" s="247"/>
      <c r="C7" s="301" t="s">
        <v>26</v>
      </c>
      <c r="D7" s="302">
        <f>+Samenvatting!$E$7</f>
        <v>0</v>
      </c>
      <c r="E7" s="302"/>
      <c r="J7" s="249"/>
      <c r="L7" s="250"/>
    </row>
    <row r="8" spans="2:12" s="241" customFormat="1" ht="5.0999999999999996" customHeight="1" thickBot="1" x14ac:dyDescent="0.3">
      <c r="B8" s="252"/>
      <c r="C8" s="253"/>
      <c r="D8" s="254"/>
      <c r="E8" s="254"/>
      <c r="F8" s="254"/>
      <c r="G8" s="254"/>
      <c r="H8" s="254"/>
      <c r="I8" s="254"/>
      <c r="J8" s="255"/>
      <c r="K8" s="254"/>
      <c r="L8" s="256"/>
    </row>
    <row r="10" spans="2:12" ht="54.75" customHeight="1" x14ac:dyDescent="0.25">
      <c r="B10" s="438" t="s">
        <v>498</v>
      </c>
      <c r="C10" s="441"/>
      <c r="D10" s="441"/>
      <c r="E10" s="441"/>
      <c r="F10" s="441"/>
      <c r="G10" s="441"/>
      <c r="H10" s="441"/>
      <c r="I10" s="441"/>
      <c r="J10" s="441"/>
      <c r="K10" s="441"/>
      <c r="L10" s="441"/>
    </row>
    <row r="11" spans="2:12" ht="296.25" customHeight="1" x14ac:dyDescent="0.25">
      <c r="B11" s="438" t="s">
        <v>499</v>
      </c>
      <c r="C11" s="439"/>
      <c r="D11" s="439"/>
      <c r="E11" s="439"/>
      <c r="F11" s="439"/>
      <c r="G11" s="439"/>
      <c r="H11" s="439"/>
      <c r="I11" s="439"/>
      <c r="J11" s="439"/>
      <c r="K11" s="439"/>
      <c r="L11" s="439"/>
    </row>
    <row r="12" spans="2:12" ht="190.5" customHeight="1" x14ac:dyDescent="0.25">
      <c r="B12" s="438" t="s">
        <v>500</v>
      </c>
      <c r="C12" s="439"/>
      <c r="D12" s="439"/>
      <c r="E12" s="439"/>
      <c r="F12" s="439"/>
      <c r="G12" s="439"/>
      <c r="H12" s="439"/>
      <c r="I12" s="439"/>
      <c r="J12" s="439"/>
      <c r="K12" s="439"/>
      <c r="L12" s="439"/>
    </row>
    <row r="13" spans="2:12" ht="96" customHeight="1" x14ac:dyDescent="0.25">
      <c r="B13" s="438" t="s">
        <v>497</v>
      </c>
      <c r="C13" s="439"/>
      <c r="D13" s="439"/>
      <c r="E13" s="439"/>
      <c r="F13" s="439"/>
      <c r="G13" s="439"/>
      <c r="H13" s="439"/>
      <c r="I13" s="439"/>
      <c r="J13" s="439"/>
      <c r="K13" s="439"/>
      <c r="L13" s="439"/>
    </row>
  </sheetData>
  <sheetProtection selectLockedCells="1" selectUnlockedCells="1"/>
  <protectedRanges>
    <protectedRange password="C44E" sqref="E14:N16 E19" name="Bereik1"/>
  </protectedRanges>
  <mergeCells count="5">
    <mergeCell ref="B13:L13"/>
    <mergeCell ref="D6:E6"/>
    <mergeCell ref="B10:L10"/>
    <mergeCell ref="B11:L11"/>
    <mergeCell ref="B12:L12"/>
  </mergeCells>
  <phoneticPr fontId="0" type="noConversion"/>
  <printOptions horizontalCentered="1"/>
  <pageMargins left="0.78740157480314965" right="0.59055118110236227" top="0.98425196850393704" bottom="0.98425196850393704" header="0.51181102362204722" footer="0.51181102362204722"/>
  <pageSetup paperSize="9" scale="85" orientation="portrait" r:id="rId1"/>
  <headerFooter alignWithMargins="0">
    <oddFooter>&amp;L&amp;G
projectnummer: 0509&amp;Rconcept: 11 april 2007
blad &amp;P van &amp;N</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T36"/>
  <sheetViews>
    <sheetView showGridLines="0" zoomScaleNormal="100" zoomScaleSheetLayoutView="100" workbookViewId="0">
      <selection activeCell="K14" sqref="K14"/>
    </sheetView>
  </sheetViews>
  <sheetFormatPr defaultRowHeight="15" x14ac:dyDescent="0.25"/>
  <cols>
    <col min="1" max="1" width="2.7109375" style="241" customWidth="1"/>
    <col min="2" max="2" width="1.7109375" style="241" customWidth="1"/>
    <col min="3" max="5" width="8.7109375" style="241" customWidth="1"/>
    <col min="6" max="7" width="5.7109375" style="241" customWidth="1"/>
    <col min="8" max="8" width="10.7109375" style="241" customWidth="1"/>
    <col min="9" max="9" width="9.7109375" style="242" customWidth="1"/>
    <col min="10" max="10" width="2.7109375" style="241" customWidth="1"/>
    <col min="11" max="11" width="10.7109375" style="242" customWidth="1"/>
    <col min="12" max="12" width="2.7109375" style="241" customWidth="1"/>
    <col min="13" max="13" width="15.7109375" style="241" customWidth="1"/>
    <col min="14" max="14" width="5.7109375" style="241" customWidth="1"/>
    <col min="15" max="15" width="15.7109375" style="241" customWidth="1"/>
    <col min="16" max="16" width="1.7109375" style="241" customWidth="1"/>
    <col min="17" max="16384" width="9.140625" style="241"/>
  </cols>
  <sheetData>
    <row r="1" spans="2:18" ht="15.75" thickBot="1" x14ac:dyDescent="0.3"/>
    <row r="2" spans="2:18" ht="5.0999999999999996" customHeight="1" x14ac:dyDescent="0.25">
      <c r="B2" s="243"/>
      <c r="C2" s="244"/>
      <c r="D2" s="244"/>
      <c r="E2" s="244"/>
      <c r="F2" s="244"/>
      <c r="G2" s="244"/>
      <c r="H2" s="244"/>
      <c r="I2" s="244"/>
      <c r="J2" s="245"/>
      <c r="K2" s="244"/>
      <c r="L2" s="244"/>
      <c r="M2" s="244"/>
      <c r="N2" s="244"/>
      <c r="O2" s="244"/>
      <c r="P2" s="246"/>
    </row>
    <row r="3" spans="2:18" ht="18.75" x14ac:dyDescent="0.3">
      <c r="B3" s="247"/>
      <c r="C3" s="248" t="s">
        <v>471</v>
      </c>
      <c r="D3" s="248"/>
      <c r="E3" s="248"/>
      <c r="F3" s="248"/>
      <c r="G3" s="248"/>
      <c r="I3" s="241"/>
      <c r="J3" s="249"/>
      <c r="K3" s="241"/>
      <c r="P3" s="250"/>
    </row>
    <row r="4" spans="2:18" x14ac:dyDescent="0.25">
      <c r="B4" s="247"/>
      <c r="C4" s="251" t="s">
        <v>27</v>
      </c>
      <c r="D4" s="251"/>
      <c r="E4" s="251"/>
      <c r="F4" s="251"/>
      <c r="G4" s="251"/>
      <c r="H4" s="251"/>
      <c r="I4" s="251"/>
      <c r="J4" s="251"/>
      <c r="K4" s="251"/>
      <c r="P4" s="250"/>
    </row>
    <row r="5" spans="2:18" ht="18.75" x14ac:dyDescent="0.3">
      <c r="B5" s="247"/>
      <c r="C5" s="248"/>
      <c r="I5" s="241"/>
      <c r="J5" s="249"/>
      <c r="K5" s="241"/>
      <c r="P5" s="250"/>
    </row>
    <row r="6" spans="2:18" x14ac:dyDescent="0.25">
      <c r="B6" s="247"/>
      <c r="C6" s="300" t="s">
        <v>1</v>
      </c>
      <c r="D6" s="440">
        <f>Samenvatting!E6</f>
        <v>43186</v>
      </c>
      <c r="E6" s="440">
        <v>0</v>
      </c>
      <c r="I6" s="241"/>
      <c r="J6" s="249"/>
      <c r="K6" s="241"/>
      <c r="P6" s="250"/>
    </row>
    <row r="7" spans="2:18" x14ac:dyDescent="0.25">
      <c r="B7" s="247"/>
      <c r="C7" s="301" t="s">
        <v>26</v>
      </c>
      <c r="D7" s="302">
        <f>Samenvatting!E7</f>
        <v>0</v>
      </c>
      <c r="E7" s="302"/>
      <c r="I7" s="241"/>
      <c r="J7" s="249"/>
      <c r="K7" s="241"/>
      <c r="P7" s="250"/>
    </row>
    <row r="8" spans="2:18" ht="5.0999999999999996" customHeight="1" thickBot="1" x14ac:dyDescent="0.3">
      <c r="B8" s="252"/>
      <c r="C8" s="253"/>
      <c r="D8" s="254"/>
      <c r="E8" s="254"/>
      <c r="F8" s="254"/>
      <c r="G8" s="254"/>
      <c r="H8" s="254"/>
      <c r="I8" s="254"/>
      <c r="J8" s="255"/>
      <c r="K8" s="254"/>
      <c r="L8" s="254"/>
      <c r="M8" s="254"/>
      <c r="N8" s="254"/>
      <c r="O8" s="254"/>
      <c r="P8" s="256"/>
    </row>
    <row r="9" spans="2:18" ht="30" customHeight="1" thickBot="1" x14ac:dyDescent="0.3"/>
    <row r="10" spans="2:18" ht="5.0999999999999996" customHeight="1" x14ac:dyDescent="0.25">
      <c r="B10" s="257"/>
      <c r="C10" s="258"/>
      <c r="D10" s="259"/>
      <c r="E10" s="259"/>
      <c r="F10" s="259"/>
      <c r="G10" s="259"/>
      <c r="H10" s="259"/>
      <c r="I10" s="260"/>
      <c r="J10" s="259"/>
      <c r="K10" s="260"/>
      <c r="L10" s="259"/>
      <c r="M10" s="259"/>
      <c r="N10" s="259"/>
      <c r="O10" s="259"/>
      <c r="P10" s="261"/>
    </row>
    <row r="11" spans="2:18" x14ac:dyDescent="0.25">
      <c r="B11" s="262"/>
      <c r="C11" s="263" t="s">
        <v>472</v>
      </c>
      <c r="D11" s="264"/>
      <c r="E11" s="264"/>
      <c r="F11" s="264"/>
      <c r="G11" s="264"/>
      <c r="I11" s="265"/>
      <c r="K11" s="265"/>
      <c r="L11" s="264"/>
      <c r="M11" s="266"/>
      <c r="N11" s="266"/>
      <c r="O11" s="267" t="s">
        <v>62</v>
      </c>
      <c r="P11" s="268"/>
      <c r="R11" s="269" t="s">
        <v>137</v>
      </c>
    </row>
    <row r="12" spans="2:18" ht="15.75" thickBot="1" x14ac:dyDescent="0.3">
      <c r="B12" s="270"/>
      <c r="C12" s="271" t="s">
        <v>56</v>
      </c>
      <c r="D12" s="271" t="s">
        <v>55</v>
      </c>
      <c r="E12" s="272"/>
      <c r="F12" s="271"/>
      <c r="G12" s="271"/>
      <c r="H12" s="271" t="s">
        <v>107</v>
      </c>
      <c r="I12" s="273" t="s">
        <v>108</v>
      </c>
      <c r="J12" s="274"/>
      <c r="K12" s="275" t="s">
        <v>110</v>
      </c>
      <c r="L12" s="271"/>
      <c r="M12" s="294" t="s">
        <v>109</v>
      </c>
      <c r="N12" s="271"/>
      <c r="O12" s="294" t="s">
        <v>19</v>
      </c>
      <c r="P12" s="276"/>
      <c r="R12" s="241" t="s">
        <v>490</v>
      </c>
    </row>
    <row r="13" spans="2:18" x14ac:dyDescent="0.25">
      <c r="B13" s="247"/>
      <c r="C13" s="266"/>
      <c r="D13" s="266" t="s">
        <v>473</v>
      </c>
      <c r="E13" s="266"/>
      <c r="F13" s="266"/>
      <c r="G13" s="266"/>
      <c r="H13" s="266" t="s">
        <v>474</v>
      </c>
      <c r="I13" s="277"/>
      <c r="J13" s="278"/>
      <c r="K13" s="292">
        <v>1</v>
      </c>
      <c r="L13" s="266"/>
      <c r="N13" s="266"/>
      <c r="O13" s="279"/>
      <c r="P13" s="250"/>
    </row>
    <row r="14" spans="2:18" x14ac:dyDescent="0.25">
      <c r="B14" s="247"/>
      <c r="C14" s="280"/>
      <c r="D14" s="283" t="s">
        <v>473</v>
      </c>
      <c r="E14" s="280"/>
      <c r="F14" s="280"/>
      <c r="G14" s="280"/>
      <c r="H14" s="280" t="s">
        <v>475</v>
      </c>
      <c r="I14" s="277">
        <f>SUM(Input!G21+Input!G22+Input!J99+Input!J100+Input!J101+Input!J102+Input!J103+Input!J104+Input!J105)</f>
        <v>0</v>
      </c>
      <c r="J14" s="277"/>
      <c r="K14" s="292">
        <v>2</v>
      </c>
      <c r="L14" s="280"/>
      <c r="M14" s="293">
        <f>I14/100</f>
        <v>0</v>
      </c>
      <c r="N14" s="280"/>
      <c r="O14" s="281">
        <f>K14*M14</f>
        <v>0</v>
      </c>
      <c r="P14" s="282"/>
    </row>
    <row r="15" spans="2:18" x14ac:dyDescent="0.25">
      <c r="B15" s="284"/>
      <c r="C15" s="285"/>
      <c r="D15" s="285" t="s">
        <v>22</v>
      </c>
      <c r="E15" s="285"/>
      <c r="F15" s="285"/>
      <c r="G15" s="285"/>
      <c r="H15" s="285" t="s">
        <v>474</v>
      </c>
      <c r="I15" s="286"/>
      <c r="J15" s="285"/>
      <c r="K15" s="286">
        <f>K13</f>
        <v>1</v>
      </c>
      <c r="L15" s="285"/>
      <c r="M15" s="287">
        <f>O15/K13</f>
        <v>0</v>
      </c>
      <c r="N15" s="285"/>
      <c r="O15" s="287">
        <f>SUM(O10:O14)</f>
        <v>0</v>
      </c>
      <c r="P15" s="288"/>
    </row>
    <row r="16" spans="2:18" ht="5.0999999999999996" customHeight="1" thickBot="1" x14ac:dyDescent="0.3">
      <c r="B16" s="252"/>
      <c r="C16" s="254"/>
      <c r="D16" s="254"/>
      <c r="E16" s="254"/>
      <c r="F16" s="254"/>
      <c r="G16" s="254"/>
      <c r="H16" s="254"/>
      <c r="I16" s="253"/>
      <c r="J16" s="254"/>
      <c r="K16" s="253"/>
      <c r="L16" s="254"/>
      <c r="M16" s="254"/>
      <c r="N16" s="254"/>
      <c r="O16" s="254"/>
      <c r="P16" s="256"/>
    </row>
    <row r="17" spans="1:20" ht="30" customHeight="1" x14ac:dyDescent="0.25"/>
    <row r="18" spans="1:20" x14ac:dyDescent="0.25">
      <c r="A18" s="266"/>
      <c r="B18" s="266"/>
      <c r="C18" s="266"/>
      <c r="D18" s="266"/>
      <c r="E18" s="266"/>
      <c r="F18" s="266"/>
      <c r="G18" s="266"/>
      <c r="H18" s="266"/>
      <c r="I18" s="281"/>
      <c r="J18" s="266"/>
      <c r="K18" s="280"/>
      <c r="L18" s="266"/>
      <c r="M18" s="266"/>
      <c r="N18" s="266"/>
      <c r="O18" s="266"/>
      <c r="P18" s="266"/>
      <c r="Q18" s="266"/>
      <c r="R18" s="266"/>
      <c r="S18" s="266"/>
      <c r="T18" s="266"/>
    </row>
    <row r="19" spans="1:20" x14ac:dyDescent="0.25">
      <c r="A19" s="266"/>
      <c r="B19" s="266"/>
      <c r="C19" s="266"/>
      <c r="D19" s="266"/>
      <c r="E19" s="266"/>
      <c r="F19" s="266"/>
      <c r="G19" s="266"/>
      <c r="H19" s="266"/>
      <c r="I19" s="281"/>
      <c r="J19" s="266"/>
      <c r="K19" s="280"/>
      <c r="L19" s="266"/>
      <c r="M19" s="266"/>
      <c r="N19" s="266"/>
      <c r="O19" s="266"/>
      <c r="P19" s="266"/>
      <c r="Q19" s="266"/>
      <c r="R19" s="266"/>
      <c r="S19" s="266"/>
      <c r="T19" s="266"/>
    </row>
    <row r="20" spans="1:20" x14ac:dyDescent="0.25">
      <c r="A20" s="266"/>
      <c r="B20" s="266"/>
      <c r="C20" s="266"/>
      <c r="D20" s="266"/>
      <c r="E20" s="266"/>
      <c r="F20" s="266"/>
      <c r="G20" s="266"/>
      <c r="H20" s="266"/>
      <c r="I20" s="281"/>
      <c r="J20" s="266"/>
      <c r="K20" s="280"/>
      <c r="L20" s="266"/>
      <c r="M20" s="266"/>
      <c r="N20" s="266"/>
      <c r="O20" s="266"/>
      <c r="P20" s="266"/>
      <c r="Q20" s="266"/>
      <c r="R20" s="266"/>
      <c r="S20" s="266"/>
      <c r="T20" s="266"/>
    </row>
    <row r="21" spans="1:20" x14ac:dyDescent="0.25">
      <c r="A21" s="266"/>
      <c r="B21" s="266"/>
      <c r="C21" s="266"/>
      <c r="D21" s="266"/>
      <c r="E21" s="266"/>
      <c r="F21" s="266"/>
      <c r="G21" s="266"/>
      <c r="H21" s="266"/>
      <c r="I21" s="280"/>
      <c r="J21" s="266"/>
      <c r="K21" s="280"/>
      <c r="L21" s="266"/>
      <c r="M21" s="266"/>
      <c r="N21" s="266"/>
      <c r="O21" s="266"/>
      <c r="P21" s="266"/>
      <c r="Q21" s="266"/>
      <c r="R21" s="266"/>
      <c r="S21" s="266"/>
      <c r="T21" s="266"/>
    </row>
    <row r="22" spans="1:20" x14ac:dyDescent="0.25">
      <c r="A22" s="266"/>
      <c r="B22" s="266"/>
      <c r="C22" s="266"/>
      <c r="D22" s="266"/>
      <c r="E22" s="266"/>
      <c r="F22" s="289"/>
      <c r="G22" s="289"/>
      <c r="H22" s="266"/>
      <c r="I22" s="281"/>
      <c r="J22" s="266"/>
      <c r="K22" s="280"/>
      <c r="L22" s="266"/>
      <c r="M22" s="266"/>
      <c r="N22" s="266"/>
      <c r="O22" s="266"/>
      <c r="P22" s="266"/>
      <c r="Q22" s="266"/>
      <c r="R22" s="266"/>
      <c r="S22" s="266"/>
      <c r="T22" s="266"/>
    </row>
    <row r="23" spans="1:20" x14ac:dyDescent="0.25">
      <c r="A23" s="266"/>
      <c r="B23" s="266"/>
      <c r="C23" s="266"/>
      <c r="D23" s="266"/>
      <c r="E23" s="266"/>
      <c r="F23" s="266"/>
      <c r="G23" s="266"/>
      <c r="H23" s="266"/>
      <c r="I23" s="280"/>
      <c r="J23" s="266"/>
      <c r="K23" s="280"/>
      <c r="L23" s="266"/>
      <c r="M23" s="266"/>
      <c r="N23" s="266"/>
      <c r="O23" s="266"/>
      <c r="P23" s="266"/>
      <c r="Q23" s="266"/>
      <c r="R23" s="266"/>
      <c r="S23" s="266"/>
      <c r="T23" s="266"/>
    </row>
    <row r="24" spans="1:20" x14ac:dyDescent="0.25">
      <c r="A24" s="266"/>
      <c r="B24" s="266"/>
      <c r="C24" s="266"/>
      <c r="D24" s="266"/>
      <c r="E24" s="266"/>
      <c r="F24" s="289"/>
      <c r="G24" s="289"/>
      <c r="H24" s="266"/>
      <c r="I24" s="281"/>
      <c r="J24" s="266"/>
      <c r="K24" s="280"/>
      <c r="L24" s="266"/>
      <c r="M24" s="266"/>
      <c r="N24" s="266"/>
      <c r="O24" s="266"/>
      <c r="P24" s="266"/>
      <c r="Q24" s="266"/>
      <c r="R24" s="266"/>
      <c r="S24" s="266"/>
      <c r="T24" s="266"/>
    </row>
    <row r="25" spans="1:20" x14ac:dyDescent="0.25">
      <c r="A25" s="266"/>
      <c r="B25" s="266"/>
      <c r="C25" s="266"/>
      <c r="D25" s="266"/>
      <c r="E25" s="266"/>
      <c r="F25" s="266"/>
      <c r="G25" s="266"/>
      <c r="H25" s="266"/>
      <c r="I25" s="280"/>
      <c r="J25" s="266"/>
      <c r="K25" s="280"/>
      <c r="L25" s="266"/>
      <c r="M25" s="266"/>
      <c r="N25" s="266"/>
      <c r="O25" s="266"/>
      <c r="P25" s="266"/>
      <c r="Q25" s="266"/>
      <c r="R25" s="266"/>
      <c r="S25" s="266"/>
      <c r="T25" s="266"/>
    </row>
    <row r="26" spans="1:20" x14ac:dyDescent="0.25">
      <c r="A26" s="266"/>
      <c r="B26" s="266"/>
      <c r="C26" s="266"/>
      <c r="D26" s="266"/>
      <c r="E26" s="266"/>
      <c r="F26" s="266"/>
      <c r="G26" s="266"/>
      <c r="H26" s="266"/>
      <c r="I26" s="281"/>
      <c r="J26" s="266"/>
      <c r="K26" s="280"/>
      <c r="L26" s="266"/>
      <c r="M26" s="266"/>
      <c r="N26" s="266"/>
      <c r="O26" s="266"/>
      <c r="P26" s="266"/>
      <c r="Q26" s="266"/>
      <c r="R26" s="266"/>
      <c r="S26" s="266"/>
      <c r="T26" s="266"/>
    </row>
    <row r="27" spans="1:20" x14ac:dyDescent="0.25">
      <c r="A27" s="266"/>
      <c r="B27" s="266"/>
      <c r="C27" s="266"/>
      <c r="D27" s="266"/>
      <c r="E27" s="266"/>
      <c r="F27" s="266"/>
      <c r="G27" s="266"/>
      <c r="H27" s="266"/>
      <c r="I27" s="280"/>
      <c r="J27" s="266"/>
      <c r="K27" s="280"/>
      <c r="L27" s="266"/>
      <c r="M27" s="266"/>
      <c r="N27" s="266"/>
      <c r="O27" s="266"/>
      <c r="P27" s="266"/>
      <c r="Q27" s="266"/>
      <c r="R27" s="266"/>
      <c r="S27" s="266"/>
      <c r="T27" s="266"/>
    </row>
    <row r="28" spans="1:20" x14ac:dyDescent="0.25">
      <c r="A28" s="266"/>
      <c r="B28" s="266"/>
      <c r="C28" s="290"/>
      <c r="D28" s="266"/>
      <c r="E28" s="266"/>
      <c r="F28" s="266"/>
      <c r="G28" s="266"/>
      <c r="H28" s="266"/>
      <c r="I28" s="280"/>
      <c r="J28" s="266"/>
      <c r="K28" s="280"/>
      <c r="L28" s="266"/>
      <c r="M28" s="266"/>
      <c r="N28" s="266"/>
      <c r="O28" s="266"/>
      <c r="P28" s="266"/>
      <c r="Q28" s="266"/>
      <c r="R28" s="266"/>
      <c r="S28" s="266"/>
      <c r="T28" s="266"/>
    </row>
    <row r="29" spans="1:20" x14ac:dyDescent="0.25">
      <c r="A29" s="266"/>
      <c r="B29" s="266"/>
      <c r="C29" s="266"/>
      <c r="D29" s="266"/>
      <c r="E29" s="266"/>
      <c r="F29" s="266"/>
      <c r="G29" s="266"/>
      <c r="H29" s="266"/>
      <c r="I29" s="280"/>
      <c r="J29" s="266"/>
      <c r="K29" s="280"/>
      <c r="L29" s="266"/>
      <c r="M29" s="266"/>
      <c r="N29" s="266"/>
      <c r="O29" s="266"/>
      <c r="P29" s="266"/>
      <c r="Q29" s="266"/>
      <c r="R29" s="266"/>
      <c r="S29" s="266"/>
      <c r="T29" s="266"/>
    </row>
    <row r="30" spans="1:20" x14ac:dyDescent="0.25">
      <c r="A30" s="266"/>
      <c r="B30" s="266"/>
      <c r="C30" s="266"/>
      <c r="D30" s="266"/>
      <c r="E30" s="266"/>
      <c r="F30" s="266"/>
      <c r="G30" s="266"/>
      <c r="H30" s="266"/>
      <c r="I30" s="280"/>
      <c r="J30" s="266"/>
      <c r="K30" s="280"/>
      <c r="L30" s="266"/>
      <c r="M30" s="266"/>
      <c r="N30" s="266"/>
      <c r="O30" s="266"/>
      <c r="P30" s="266"/>
      <c r="Q30" s="266"/>
      <c r="R30" s="266"/>
      <c r="S30" s="266"/>
      <c r="T30" s="266"/>
    </row>
    <row r="31" spans="1:20" x14ac:dyDescent="0.25">
      <c r="A31" s="266"/>
      <c r="B31" s="266"/>
      <c r="C31" s="291"/>
      <c r="D31" s="266"/>
      <c r="E31" s="266"/>
      <c r="F31" s="266"/>
      <c r="G31" s="266"/>
      <c r="H31" s="266"/>
      <c r="I31" s="280"/>
      <c r="J31" s="266"/>
      <c r="K31" s="280"/>
      <c r="L31" s="266"/>
      <c r="M31" s="266"/>
      <c r="N31" s="266"/>
      <c r="O31" s="266"/>
      <c r="P31" s="266"/>
      <c r="Q31" s="266"/>
      <c r="R31" s="266"/>
      <c r="S31" s="266"/>
      <c r="T31" s="266"/>
    </row>
    <row r="32" spans="1:20" x14ac:dyDescent="0.25">
      <c r="A32" s="266"/>
      <c r="B32" s="266"/>
      <c r="C32" s="266"/>
      <c r="D32" s="266"/>
      <c r="E32" s="266"/>
      <c r="F32" s="266"/>
      <c r="G32" s="266"/>
      <c r="H32" s="266"/>
      <c r="I32" s="280"/>
      <c r="J32" s="266"/>
      <c r="K32" s="280"/>
      <c r="L32" s="266"/>
      <c r="M32" s="266"/>
      <c r="N32" s="266"/>
      <c r="O32" s="266"/>
      <c r="P32" s="266"/>
      <c r="Q32" s="266"/>
      <c r="R32" s="266"/>
      <c r="S32" s="266"/>
      <c r="T32" s="266"/>
    </row>
    <row r="33" spans="1:20" x14ac:dyDescent="0.25">
      <c r="A33" s="266"/>
      <c r="B33" s="266"/>
      <c r="C33" s="266"/>
      <c r="D33" s="266"/>
      <c r="E33" s="266"/>
      <c r="F33" s="266"/>
      <c r="G33" s="266"/>
      <c r="H33" s="266"/>
      <c r="I33" s="280"/>
      <c r="J33" s="266"/>
      <c r="K33" s="280"/>
      <c r="L33" s="266"/>
      <c r="M33" s="266"/>
      <c r="N33" s="266"/>
      <c r="O33" s="266"/>
      <c r="P33" s="266"/>
      <c r="Q33" s="266"/>
      <c r="R33" s="266"/>
      <c r="S33" s="266"/>
      <c r="T33" s="266"/>
    </row>
    <row r="34" spans="1:20" x14ac:dyDescent="0.25">
      <c r="A34" s="266"/>
      <c r="B34" s="266"/>
      <c r="C34" s="266"/>
      <c r="D34" s="266"/>
      <c r="E34" s="266"/>
      <c r="F34" s="266"/>
      <c r="G34" s="266"/>
      <c r="H34" s="266"/>
      <c r="I34" s="280"/>
      <c r="J34" s="266"/>
      <c r="K34" s="280"/>
      <c r="L34" s="266"/>
      <c r="M34" s="266"/>
      <c r="N34" s="266"/>
      <c r="O34" s="266"/>
      <c r="P34" s="266"/>
      <c r="Q34" s="266"/>
      <c r="R34" s="266"/>
      <c r="S34" s="266"/>
      <c r="T34" s="266"/>
    </row>
    <row r="35" spans="1:20" x14ac:dyDescent="0.25">
      <c r="A35" s="266"/>
      <c r="B35" s="266"/>
      <c r="C35" s="266"/>
      <c r="D35" s="266"/>
      <c r="E35" s="266"/>
      <c r="F35" s="266"/>
      <c r="G35" s="266"/>
      <c r="H35" s="266"/>
      <c r="I35" s="280"/>
      <c r="J35" s="266"/>
      <c r="K35" s="280"/>
      <c r="L35" s="266"/>
      <c r="M35" s="266"/>
      <c r="N35" s="266"/>
      <c r="O35" s="266"/>
      <c r="P35" s="266"/>
      <c r="Q35" s="266"/>
      <c r="R35" s="266"/>
      <c r="S35" s="266"/>
      <c r="T35" s="266"/>
    </row>
    <row r="36" spans="1:20" x14ac:dyDescent="0.25">
      <c r="A36" s="266"/>
      <c r="B36" s="266"/>
      <c r="C36" s="266"/>
      <c r="D36" s="266"/>
      <c r="E36" s="266"/>
      <c r="F36" s="266"/>
      <c r="G36" s="266"/>
      <c r="H36" s="266"/>
      <c r="I36" s="280"/>
      <c r="J36" s="266"/>
      <c r="K36" s="280"/>
      <c r="L36" s="266"/>
      <c r="M36" s="266"/>
      <c r="N36" s="266"/>
      <c r="O36" s="266"/>
      <c r="P36" s="266"/>
      <c r="Q36" s="266"/>
      <c r="R36" s="266"/>
      <c r="S36" s="266"/>
      <c r="T36" s="266"/>
    </row>
  </sheetData>
  <sheetProtection selectLockedCells="1" selectUnlockedCells="1"/>
  <mergeCells count="1">
    <mergeCell ref="D6:E6"/>
  </mergeCells>
  <phoneticPr fontId="0" type="noConversion"/>
  <printOptions horizontalCentered="1"/>
  <pageMargins left="0.78740157480314965" right="0.59055118110236227" top="0.98425196850393704" bottom="0.98425196850393704" header="0.51181102362204722" footer="0.51181102362204722"/>
  <pageSetup paperSize="9" scale="85" orientation="portrait" r:id="rId1"/>
  <headerFooter alignWithMargins="0">
    <oddFooter>&amp;L&amp;G
projectnummer: 0509&amp;Rconcept: 11 april 2007
blad &amp;P van &amp;N</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T65"/>
  <sheetViews>
    <sheetView showGridLines="0" topLeftCell="A34" zoomScaleNormal="100" zoomScaleSheetLayoutView="100" workbookViewId="0">
      <selection activeCell="D6" sqref="D6:E6"/>
    </sheetView>
  </sheetViews>
  <sheetFormatPr defaultRowHeight="15" x14ac:dyDescent="0.25"/>
  <cols>
    <col min="1" max="1" width="2.7109375" style="131" customWidth="1"/>
    <col min="2" max="2" width="1.7109375" style="131" customWidth="1"/>
    <col min="3" max="5" width="8.7109375" style="131" customWidth="1"/>
    <col min="6" max="7" width="5.7109375" style="131" customWidth="1"/>
    <col min="8" max="8" width="10.7109375" style="131" customWidth="1"/>
    <col min="9" max="9" width="7.7109375" style="178" bestFit="1" customWidth="1"/>
    <col min="10" max="10" width="2.7109375" style="131" customWidth="1"/>
    <col min="11" max="11" width="10.7109375" style="178" customWidth="1"/>
    <col min="12" max="12" width="2.7109375" style="131" customWidth="1"/>
    <col min="13" max="13" width="15.7109375" style="131" customWidth="1"/>
    <col min="14" max="14" width="5.7109375" style="131" customWidth="1"/>
    <col min="15" max="15" width="15.7109375" style="131" customWidth="1"/>
    <col min="16" max="16" width="1.7109375" style="131" customWidth="1"/>
    <col min="17" max="16384" width="9.140625" style="131"/>
  </cols>
  <sheetData>
    <row r="1" spans="2:18" ht="15.75" thickBot="1" x14ac:dyDescent="0.3"/>
    <row r="2" spans="2:18" ht="5.0999999999999996" customHeight="1" x14ac:dyDescent="0.25">
      <c r="B2" s="132"/>
      <c r="C2" s="133"/>
      <c r="D2" s="133"/>
      <c r="E2" s="133"/>
      <c r="F2" s="133"/>
      <c r="G2" s="133"/>
      <c r="H2" s="133"/>
      <c r="I2" s="133"/>
      <c r="J2" s="180"/>
      <c r="K2" s="133"/>
      <c r="L2" s="133"/>
      <c r="M2" s="133"/>
      <c r="N2" s="133"/>
      <c r="O2" s="133"/>
      <c r="P2" s="134"/>
    </row>
    <row r="3" spans="2:18" ht="18.75" x14ac:dyDescent="0.3">
      <c r="B3" s="135"/>
      <c r="C3" s="181" t="s">
        <v>297</v>
      </c>
      <c r="D3" s="181"/>
      <c r="E3" s="181"/>
      <c r="F3" s="181"/>
      <c r="G3" s="181"/>
      <c r="I3" s="131"/>
      <c r="J3" s="182"/>
      <c r="K3" s="131"/>
      <c r="P3" s="138"/>
    </row>
    <row r="4" spans="2:18" x14ac:dyDescent="0.25">
      <c r="B4" s="135"/>
      <c r="C4" s="183" t="s">
        <v>27</v>
      </c>
      <c r="D4" s="183"/>
      <c r="E4" s="183"/>
      <c r="F4" s="183"/>
      <c r="G4" s="183"/>
      <c r="H4" s="183"/>
      <c r="I4" s="183"/>
      <c r="J4" s="183"/>
      <c r="K4" s="183"/>
      <c r="P4" s="138"/>
    </row>
    <row r="5" spans="2:18" ht="18.75" x14ac:dyDescent="0.3">
      <c r="B5" s="135"/>
      <c r="C5" s="181"/>
      <c r="I5" s="131"/>
      <c r="J5" s="182"/>
      <c r="K5" s="131"/>
      <c r="P5" s="138"/>
    </row>
    <row r="6" spans="2:18" x14ac:dyDescent="0.25">
      <c r="B6" s="135"/>
      <c r="C6" s="300" t="s">
        <v>1</v>
      </c>
      <c r="D6" s="440">
        <f>Samenvatting!E6</f>
        <v>43186</v>
      </c>
      <c r="E6" s="440">
        <v>0</v>
      </c>
      <c r="I6" s="131"/>
      <c r="J6" s="182"/>
      <c r="K6" s="131"/>
      <c r="P6" s="138"/>
    </row>
    <row r="7" spans="2:18" x14ac:dyDescent="0.25">
      <c r="B7" s="135"/>
      <c r="C7" s="301" t="s">
        <v>26</v>
      </c>
      <c r="D7" s="302">
        <f>Samenvatting!E7</f>
        <v>0</v>
      </c>
      <c r="E7" s="302"/>
      <c r="I7" s="131"/>
      <c r="J7" s="182"/>
      <c r="K7" s="131"/>
      <c r="P7" s="138"/>
    </row>
    <row r="8" spans="2:18" ht="5.0999999999999996" customHeight="1" thickBot="1" x14ac:dyDescent="0.3">
      <c r="B8" s="140"/>
      <c r="C8" s="141"/>
      <c r="D8" s="142"/>
      <c r="E8" s="142"/>
      <c r="F8" s="142"/>
      <c r="G8" s="142"/>
      <c r="H8" s="142"/>
      <c r="I8" s="142"/>
      <c r="J8" s="184"/>
      <c r="K8" s="142"/>
      <c r="L8" s="142"/>
      <c r="M8" s="142"/>
      <c r="N8" s="142"/>
      <c r="O8" s="142"/>
      <c r="P8" s="143"/>
    </row>
    <row r="9" spans="2:18" ht="30" customHeight="1" thickBot="1" x14ac:dyDescent="0.3"/>
    <row r="10" spans="2:18" ht="5.0999999999999996" customHeight="1" x14ac:dyDescent="0.25">
      <c r="B10" s="185"/>
      <c r="C10" s="186"/>
      <c r="D10" s="187"/>
      <c r="E10" s="187"/>
      <c r="F10" s="187"/>
      <c r="G10" s="187"/>
      <c r="H10" s="187"/>
      <c r="I10" s="188"/>
      <c r="J10" s="187"/>
      <c r="K10" s="188"/>
      <c r="L10" s="187"/>
      <c r="M10" s="187"/>
      <c r="N10" s="187"/>
      <c r="O10" s="187"/>
      <c r="P10" s="189"/>
    </row>
    <row r="11" spans="2:18" x14ac:dyDescent="0.25">
      <c r="B11" s="190"/>
      <c r="C11" s="191" t="s">
        <v>277</v>
      </c>
      <c r="D11" s="192"/>
      <c r="E11" s="192"/>
      <c r="F11" s="192"/>
      <c r="G11" s="192"/>
      <c r="I11" s="193"/>
      <c r="K11" s="193"/>
      <c r="L11" s="192"/>
      <c r="M11" s="137"/>
      <c r="N11" s="137"/>
      <c r="O11" s="194" t="s">
        <v>62</v>
      </c>
      <c r="P11" s="195"/>
      <c r="R11" s="196" t="s">
        <v>137</v>
      </c>
    </row>
    <row r="12" spans="2:18" ht="15.75" thickBot="1" x14ac:dyDescent="0.3">
      <c r="B12" s="197"/>
      <c r="C12" s="198" t="s">
        <v>56</v>
      </c>
      <c r="D12" s="198" t="s">
        <v>55</v>
      </c>
      <c r="E12" s="199"/>
      <c r="F12" s="198"/>
      <c r="G12" s="198"/>
      <c r="H12" s="198" t="s">
        <v>107</v>
      </c>
      <c r="I12" s="200" t="s">
        <v>108</v>
      </c>
      <c r="J12" s="201"/>
      <c r="K12" s="202" t="s">
        <v>110</v>
      </c>
      <c r="L12" s="198"/>
      <c r="M12" s="296" t="s">
        <v>109</v>
      </c>
      <c r="N12" s="198"/>
      <c r="O12" s="296" t="s">
        <v>19</v>
      </c>
      <c r="P12" s="203"/>
      <c r="R12" s="131" t="s">
        <v>419</v>
      </c>
    </row>
    <row r="13" spans="2:18" x14ac:dyDescent="0.25">
      <c r="B13" s="135"/>
      <c r="C13" s="137"/>
      <c r="D13" s="137" t="s">
        <v>278</v>
      </c>
      <c r="E13" s="137"/>
      <c r="F13" s="137"/>
      <c r="G13" s="137"/>
      <c r="H13" s="137" t="s">
        <v>59</v>
      </c>
      <c r="I13" s="204"/>
      <c r="J13" s="205"/>
      <c r="K13" s="204">
        <f>(SUM(Input!I47,Input!K47,Input!M48,Input!G48,Input!M49)*1.4)</f>
        <v>0</v>
      </c>
      <c r="L13" s="137"/>
      <c r="N13" s="137"/>
      <c r="O13" s="206"/>
      <c r="P13" s="138"/>
      <c r="R13" s="131" t="s">
        <v>281</v>
      </c>
    </row>
    <row r="14" spans="2:18" x14ac:dyDescent="0.25">
      <c r="B14" s="135"/>
      <c r="C14" s="137"/>
      <c r="D14" s="127" t="str">
        <f>Basisgegevens!$D$36</f>
        <v>hydraulische rupskraan 1 m³</v>
      </c>
      <c r="E14" s="137"/>
      <c r="F14" s="137"/>
      <c r="G14" s="137"/>
      <c r="H14" s="137" t="s">
        <v>111</v>
      </c>
      <c r="I14" s="204">
        <v>100</v>
      </c>
      <c r="J14" s="205"/>
      <c r="K14" s="204">
        <f>K13/I14</f>
        <v>0</v>
      </c>
      <c r="L14" s="137"/>
      <c r="M14" s="206">
        <f>Basisgegevens!$M$36</f>
        <v>70</v>
      </c>
      <c r="N14" s="137"/>
      <c r="O14" s="206">
        <f>K14*M14</f>
        <v>0</v>
      </c>
      <c r="P14" s="138"/>
      <c r="R14" s="131" t="s">
        <v>287</v>
      </c>
    </row>
    <row r="15" spans="2:18" x14ac:dyDescent="0.25">
      <c r="B15" s="135"/>
      <c r="C15" s="137"/>
      <c r="D15" s="127" t="str">
        <f>Basisgegevens!$D$13</f>
        <v>grondwerker</v>
      </c>
      <c r="E15" s="137"/>
      <c r="F15" s="137"/>
      <c r="G15" s="137"/>
      <c r="H15" s="137" t="s">
        <v>111</v>
      </c>
      <c r="I15" s="204">
        <v>100</v>
      </c>
      <c r="J15" s="205"/>
      <c r="K15" s="204">
        <f>K13/I15</f>
        <v>0</v>
      </c>
      <c r="L15" s="137"/>
      <c r="M15" s="206">
        <f>Basisgegevens!$M$13</f>
        <v>35</v>
      </c>
      <c r="N15" s="137"/>
      <c r="O15" s="206">
        <f>K15*M15</f>
        <v>0</v>
      </c>
      <c r="P15" s="138"/>
    </row>
    <row r="16" spans="2:18" x14ac:dyDescent="0.25">
      <c r="B16" s="135"/>
      <c r="C16" s="149"/>
      <c r="D16" s="148" t="s">
        <v>37</v>
      </c>
      <c r="E16" s="149"/>
      <c r="F16" s="149"/>
      <c r="G16" s="149"/>
      <c r="H16" s="149" t="s">
        <v>29</v>
      </c>
      <c r="I16" s="204"/>
      <c r="J16" s="204"/>
      <c r="L16" s="149"/>
      <c r="M16" s="207"/>
      <c r="N16" s="149"/>
      <c r="O16" s="207"/>
      <c r="P16" s="208"/>
    </row>
    <row r="17" spans="2:18" x14ac:dyDescent="0.25">
      <c r="B17" s="135"/>
      <c r="C17" s="149"/>
      <c r="D17" s="209" t="str">
        <f>Basisgegevens!$D$25</f>
        <v>vrachtauto 6x6 12 m³</v>
      </c>
      <c r="E17" s="149"/>
      <c r="F17" s="149"/>
      <c r="G17" s="149"/>
      <c r="H17" s="210" t="s">
        <v>111</v>
      </c>
      <c r="I17" s="204">
        <f>12*1.7</f>
        <v>20.399999999999999</v>
      </c>
      <c r="J17" s="204"/>
      <c r="K17" s="204">
        <f>K18/I17</f>
        <v>0</v>
      </c>
      <c r="L17" s="149"/>
      <c r="M17" s="207">
        <f>Basisgegevens!$M$25</f>
        <v>55</v>
      </c>
      <c r="N17" s="149"/>
      <c r="O17" s="207">
        <f>K17*M17</f>
        <v>0</v>
      </c>
      <c r="P17" s="208"/>
    </row>
    <row r="18" spans="2:18" x14ac:dyDescent="0.25">
      <c r="B18" s="135"/>
      <c r="C18" s="149"/>
      <c r="D18" s="209" t="str">
        <f>Basisgegevens!$D$91</f>
        <v>stortkosten schone grond</v>
      </c>
      <c r="E18" s="149"/>
      <c r="F18" s="149"/>
      <c r="G18" s="149"/>
      <c r="H18" s="149" t="s">
        <v>54</v>
      </c>
      <c r="I18" s="204">
        <v>1</v>
      </c>
      <c r="J18" s="204"/>
      <c r="K18" s="204">
        <f>K13*0.25*1.7</f>
        <v>0</v>
      </c>
      <c r="L18" s="149"/>
      <c r="M18" s="207">
        <f>Basisgegevens!$M$91</f>
        <v>3.75</v>
      </c>
      <c r="N18" s="149"/>
      <c r="O18" s="207">
        <f>K18*M18</f>
        <v>0</v>
      </c>
      <c r="P18" s="208"/>
    </row>
    <row r="19" spans="2:18" x14ac:dyDescent="0.25">
      <c r="B19" s="211"/>
      <c r="C19" s="163"/>
      <c r="D19" s="163" t="s">
        <v>22</v>
      </c>
      <c r="E19" s="163"/>
      <c r="F19" s="163"/>
      <c r="G19" s="163"/>
      <c r="H19" s="163" t="s">
        <v>59</v>
      </c>
      <c r="I19" s="212"/>
      <c r="J19" s="163"/>
      <c r="K19" s="212">
        <f>K13</f>
        <v>0</v>
      </c>
      <c r="L19" s="163"/>
      <c r="M19" s="213" t="e">
        <f>IF(0,"-",O19/K13)</f>
        <v>#DIV/0!</v>
      </c>
      <c r="N19" s="163"/>
      <c r="O19" s="213">
        <f>SUM(O14:O18)</f>
        <v>0</v>
      </c>
      <c r="P19" s="214"/>
    </row>
    <row r="20" spans="2:18" ht="5.0999999999999996" customHeight="1" thickBot="1" x14ac:dyDescent="0.3">
      <c r="B20" s="140"/>
      <c r="C20" s="142"/>
      <c r="D20" s="142"/>
      <c r="E20" s="142"/>
      <c r="F20" s="142"/>
      <c r="G20" s="142"/>
      <c r="H20" s="142"/>
      <c r="I20" s="141"/>
      <c r="J20" s="142"/>
      <c r="K20" s="141"/>
      <c r="L20" s="142"/>
      <c r="M20" s="142"/>
      <c r="N20" s="142"/>
      <c r="O20" s="142"/>
      <c r="P20" s="143"/>
    </row>
    <row r="21" spans="2:18" ht="30" customHeight="1" thickBot="1" x14ac:dyDescent="0.3"/>
    <row r="22" spans="2:18" ht="5.0999999999999996" customHeight="1" x14ac:dyDescent="0.25">
      <c r="B22" s="185"/>
      <c r="C22" s="186"/>
      <c r="D22" s="187"/>
      <c r="E22" s="187"/>
      <c r="F22" s="187"/>
      <c r="G22" s="187"/>
      <c r="H22" s="187"/>
      <c r="I22" s="188"/>
      <c r="J22" s="187"/>
      <c r="K22" s="188"/>
      <c r="L22" s="187"/>
      <c r="M22" s="187"/>
      <c r="N22" s="187"/>
      <c r="O22" s="187"/>
      <c r="P22" s="189"/>
    </row>
    <row r="23" spans="2:18" x14ac:dyDescent="0.25">
      <c r="B23" s="190"/>
      <c r="C23" s="191" t="s">
        <v>277</v>
      </c>
      <c r="D23" s="192"/>
      <c r="E23" s="192"/>
      <c r="F23" s="192"/>
      <c r="G23" s="192"/>
      <c r="I23" s="193"/>
      <c r="K23" s="193"/>
      <c r="L23" s="192"/>
      <c r="M23" s="137"/>
      <c r="N23" s="137"/>
      <c r="O23" s="194" t="s">
        <v>62</v>
      </c>
      <c r="P23" s="195"/>
      <c r="R23" s="196" t="s">
        <v>137</v>
      </c>
    </row>
    <row r="24" spans="2:18" ht="15.75" thickBot="1" x14ac:dyDescent="0.3">
      <c r="B24" s="197"/>
      <c r="C24" s="198" t="s">
        <v>56</v>
      </c>
      <c r="D24" s="198" t="s">
        <v>55</v>
      </c>
      <c r="E24" s="199"/>
      <c r="F24" s="198"/>
      <c r="G24" s="198"/>
      <c r="H24" s="198" t="s">
        <v>107</v>
      </c>
      <c r="I24" s="200" t="s">
        <v>108</v>
      </c>
      <c r="J24" s="201"/>
      <c r="K24" s="202" t="s">
        <v>110</v>
      </c>
      <c r="L24" s="198"/>
      <c r="M24" s="198" t="s">
        <v>109</v>
      </c>
      <c r="N24" s="198"/>
      <c r="O24" s="198" t="s">
        <v>19</v>
      </c>
      <c r="P24" s="203"/>
      <c r="R24" s="131" t="s">
        <v>292</v>
      </c>
    </row>
    <row r="25" spans="2:18" x14ac:dyDescent="0.25">
      <c r="B25" s="135"/>
      <c r="C25" s="137"/>
      <c r="D25" s="137" t="s">
        <v>278</v>
      </c>
      <c r="E25" s="137"/>
      <c r="F25" s="137"/>
      <c r="G25" s="137"/>
      <c r="H25" s="137" t="s">
        <v>59</v>
      </c>
      <c r="I25" s="204"/>
      <c r="J25" s="205"/>
      <c r="K25" s="204">
        <f>(SUM(Input!I46,Input!K46+Input!G51*148,Input!G52*43)*1.2)</f>
        <v>0</v>
      </c>
      <c r="L25" s="137"/>
      <c r="N25" s="137"/>
      <c r="O25" s="206"/>
      <c r="P25" s="138"/>
      <c r="R25" s="131" t="s">
        <v>423</v>
      </c>
    </row>
    <row r="26" spans="2:18" x14ac:dyDescent="0.25">
      <c r="B26" s="135"/>
      <c r="C26" s="137"/>
      <c r="D26" s="127" t="str">
        <f>Basisgegevens!$D$36</f>
        <v>hydraulische rupskraan 1 m³</v>
      </c>
      <c r="E26" s="137"/>
      <c r="F26" s="137"/>
      <c r="G26" s="137"/>
      <c r="H26" s="137" t="s">
        <v>111</v>
      </c>
      <c r="I26" s="204">
        <v>120</v>
      </c>
      <c r="J26" s="205"/>
      <c r="K26" s="204">
        <f>K25/I26</f>
        <v>0</v>
      </c>
      <c r="L26" s="137"/>
      <c r="M26" s="206">
        <f>Basisgegevens!$M$36</f>
        <v>70</v>
      </c>
      <c r="N26" s="137"/>
      <c r="O26" s="206">
        <f>K26*M26</f>
        <v>0</v>
      </c>
      <c r="P26" s="138"/>
      <c r="R26" s="131" t="s">
        <v>287</v>
      </c>
    </row>
    <row r="27" spans="2:18" x14ac:dyDescent="0.25">
      <c r="B27" s="135"/>
      <c r="C27" s="137"/>
      <c r="D27" s="127" t="str">
        <f>Basisgegevens!$D$13</f>
        <v>grondwerker</v>
      </c>
      <c r="E27" s="137"/>
      <c r="F27" s="137"/>
      <c r="G27" s="137"/>
      <c r="H27" s="137" t="s">
        <v>111</v>
      </c>
      <c r="I27" s="204">
        <v>120</v>
      </c>
      <c r="J27" s="205"/>
      <c r="K27" s="204">
        <f>K25/I27</f>
        <v>0</v>
      </c>
      <c r="L27" s="137"/>
      <c r="M27" s="206">
        <f>Basisgegevens!$M$13</f>
        <v>35</v>
      </c>
      <c r="N27" s="137"/>
      <c r="O27" s="206">
        <f>K27*M27</f>
        <v>0</v>
      </c>
      <c r="P27" s="138"/>
    </row>
    <row r="28" spans="2:18" x14ac:dyDescent="0.25">
      <c r="B28" s="135"/>
      <c r="C28" s="149"/>
      <c r="D28" s="148" t="s">
        <v>37</v>
      </c>
      <c r="E28" s="149"/>
      <c r="F28" s="149"/>
      <c r="G28" s="149"/>
      <c r="H28" s="149" t="s">
        <v>29</v>
      </c>
      <c r="I28" s="204"/>
      <c r="J28" s="204"/>
      <c r="L28" s="149"/>
      <c r="M28" s="207"/>
      <c r="N28" s="149"/>
      <c r="O28" s="207"/>
      <c r="P28" s="208"/>
    </row>
    <row r="29" spans="2:18" x14ac:dyDescent="0.25">
      <c r="B29" s="135"/>
      <c r="C29" s="149"/>
      <c r="D29" s="209" t="str">
        <f>Basisgegevens!$D$25</f>
        <v>vrachtauto 6x6 12 m³</v>
      </c>
      <c r="E29" s="149"/>
      <c r="F29" s="149"/>
      <c r="G29" s="149"/>
      <c r="H29" s="210" t="s">
        <v>111</v>
      </c>
      <c r="I29" s="204">
        <f>12*1.7</f>
        <v>20.399999999999999</v>
      </c>
      <c r="J29" s="204"/>
      <c r="K29" s="204">
        <f>K30/I29</f>
        <v>0</v>
      </c>
      <c r="L29" s="149"/>
      <c r="M29" s="207">
        <f>Basisgegevens!$M$25</f>
        <v>55</v>
      </c>
      <c r="N29" s="149"/>
      <c r="O29" s="207">
        <f>K29*M29</f>
        <v>0</v>
      </c>
      <c r="P29" s="208"/>
    </row>
    <row r="30" spans="2:18" x14ac:dyDescent="0.25">
      <c r="B30" s="135"/>
      <c r="C30" s="149"/>
      <c r="D30" s="209" t="str">
        <f>Basisgegevens!$D$91</f>
        <v>stortkosten schone grond</v>
      </c>
      <c r="E30" s="149"/>
      <c r="F30" s="149"/>
      <c r="G30" s="149"/>
      <c r="H30" s="149" t="s">
        <v>54</v>
      </c>
      <c r="I30" s="204">
        <v>1</v>
      </c>
      <c r="J30" s="204"/>
      <c r="K30" s="204">
        <f>K25*0.25*1.7</f>
        <v>0</v>
      </c>
      <c r="L30" s="149"/>
      <c r="M30" s="207">
        <f>Basisgegevens!$M$91</f>
        <v>3.75</v>
      </c>
      <c r="N30" s="149"/>
      <c r="O30" s="207">
        <f>K30*M30</f>
        <v>0</v>
      </c>
      <c r="P30" s="208"/>
    </row>
    <row r="31" spans="2:18" x14ac:dyDescent="0.25">
      <c r="B31" s="211"/>
      <c r="C31" s="163"/>
      <c r="D31" s="163" t="s">
        <v>22</v>
      </c>
      <c r="E31" s="163"/>
      <c r="F31" s="163"/>
      <c r="G31" s="163"/>
      <c r="H31" s="163" t="s">
        <v>59</v>
      </c>
      <c r="I31" s="212"/>
      <c r="J31" s="163"/>
      <c r="K31" s="212">
        <f>K25</f>
        <v>0</v>
      </c>
      <c r="L31" s="163"/>
      <c r="M31" s="303" t="e">
        <f>O31/K25</f>
        <v>#DIV/0!</v>
      </c>
      <c r="N31" s="163"/>
      <c r="O31" s="213">
        <f>SUM(O26:O30)</f>
        <v>0</v>
      </c>
      <c r="P31" s="214"/>
    </row>
    <row r="32" spans="2:18" ht="5.0999999999999996" customHeight="1" thickBot="1" x14ac:dyDescent="0.3">
      <c r="B32" s="140"/>
      <c r="C32" s="142"/>
      <c r="D32" s="142"/>
      <c r="E32" s="142"/>
      <c r="F32" s="142"/>
      <c r="G32" s="142"/>
      <c r="H32" s="142"/>
      <c r="I32" s="141"/>
      <c r="J32" s="142"/>
      <c r="K32" s="141"/>
      <c r="L32" s="142"/>
      <c r="M32" s="142"/>
      <c r="N32" s="142"/>
      <c r="O32" s="142"/>
      <c r="P32" s="143"/>
    </row>
    <row r="33" spans="1:20" ht="30" customHeight="1" thickBot="1" x14ac:dyDescent="0.3"/>
    <row r="34" spans="1:20" ht="5.0999999999999996" customHeight="1" x14ac:dyDescent="0.25">
      <c r="B34" s="185"/>
      <c r="C34" s="186"/>
      <c r="D34" s="187"/>
      <c r="E34" s="187"/>
      <c r="F34" s="187"/>
      <c r="G34" s="187"/>
      <c r="H34" s="187"/>
      <c r="I34" s="188"/>
      <c r="J34" s="187"/>
      <c r="K34" s="188"/>
      <c r="L34" s="187"/>
      <c r="M34" s="187"/>
      <c r="N34" s="187"/>
      <c r="O34" s="187"/>
      <c r="P34" s="189"/>
    </row>
    <row r="35" spans="1:20" x14ac:dyDescent="0.25">
      <c r="B35" s="190"/>
      <c r="C35" s="191" t="s">
        <v>283</v>
      </c>
      <c r="D35" s="192"/>
      <c r="E35" s="192"/>
      <c r="F35" s="192"/>
      <c r="G35" s="192"/>
      <c r="I35" s="193"/>
      <c r="K35" s="193"/>
      <c r="L35" s="192"/>
      <c r="M35" s="137"/>
      <c r="N35" s="137"/>
      <c r="O35" s="194" t="s">
        <v>62</v>
      </c>
      <c r="P35" s="195"/>
      <c r="R35" s="196" t="s">
        <v>137</v>
      </c>
    </row>
    <row r="36" spans="1:20" ht="15.75" thickBot="1" x14ac:dyDescent="0.3">
      <c r="B36" s="197"/>
      <c r="C36" s="198" t="s">
        <v>56</v>
      </c>
      <c r="D36" s="198" t="s">
        <v>55</v>
      </c>
      <c r="E36" s="199"/>
      <c r="F36" s="198"/>
      <c r="G36" s="198"/>
      <c r="H36" s="198" t="s">
        <v>107</v>
      </c>
      <c r="I36" s="200" t="s">
        <v>108</v>
      </c>
      <c r="J36" s="201"/>
      <c r="K36" s="202" t="s">
        <v>110</v>
      </c>
      <c r="L36" s="198"/>
      <c r="M36" s="198" t="s">
        <v>109</v>
      </c>
      <c r="N36" s="198"/>
      <c r="O36" s="198" t="s">
        <v>19</v>
      </c>
      <c r="P36" s="203"/>
      <c r="R36" s="131" t="s">
        <v>417</v>
      </c>
    </row>
    <row r="37" spans="1:20" x14ac:dyDescent="0.25">
      <c r="B37" s="135"/>
      <c r="C37" s="137"/>
      <c r="D37" s="137" t="s">
        <v>278</v>
      </c>
      <c r="E37" s="137"/>
      <c r="F37" s="137"/>
      <c r="G37" s="137"/>
      <c r="H37" s="137" t="s">
        <v>59</v>
      </c>
      <c r="I37" s="204"/>
      <c r="J37" s="205"/>
      <c r="K37" s="204">
        <f>(SUM(Input!G46)*1.16)</f>
        <v>0</v>
      </c>
      <c r="L37" s="137"/>
      <c r="N37" s="137"/>
      <c r="O37" s="206"/>
      <c r="P37" s="138"/>
      <c r="R37" s="131" t="s">
        <v>280</v>
      </c>
    </row>
    <row r="38" spans="1:20" x14ac:dyDescent="0.25">
      <c r="B38" s="135"/>
      <c r="C38" s="137"/>
      <c r="D38" s="127" t="str">
        <f>Basisgegevens!$D$37</f>
        <v>hydraulische rupskraan 2 m³</v>
      </c>
      <c r="E38" s="137"/>
      <c r="F38" s="137"/>
      <c r="G38" s="137"/>
      <c r="H38" s="137" t="s">
        <v>111</v>
      </c>
      <c r="I38" s="204">
        <v>140</v>
      </c>
      <c r="J38" s="205"/>
      <c r="K38" s="204">
        <f>K37/I38</f>
        <v>0</v>
      </c>
      <c r="L38" s="137"/>
      <c r="M38" s="206">
        <f>Basisgegevens!$M$37</f>
        <v>80</v>
      </c>
      <c r="N38" s="137"/>
      <c r="O38" s="206">
        <f>K38*M38</f>
        <v>0</v>
      </c>
      <c r="P38" s="138"/>
      <c r="R38" s="131" t="s">
        <v>287</v>
      </c>
    </row>
    <row r="39" spans="1:20" x14ac:dyDescent="0.25">
      <c r="B39" s="135"/>
      <c r="C39" s="137"/>
      <c r="D39" s="127" t="str">
        <f>Basisgegevens!$D$13</f>
        <v>grondwerker</v>
      </c>
      <c r="E39" s="137"/>
      <c r="F39" s="137"/>
      <c r="G39" s="137"/>
      <c r="H39" s="137" t="s">
        <v>111</v>
      </c>
      <c r="I39" s="204">
        <v>140</v>
      </c>
      <c r="J39" s="205"/>
      <c r="K39" s="204">
        <f>K37/I39</f>
        <v>0</v>
      </c>
      <c r="L39" s="137"/>
      <c r="M39" s="206">
        <f>Basisgegevens!$M$13</f>
        <v>35</v>
      </c>
      <c r="N39" s="137"/>
      <c r="O39" s="206">
        <f>K39*M39</f>
        <v>0</v>
      </c>
      <c r="P39" s="138"/>
    </row>
    <row r="40" spans="1:20" x14ac:dyDescent="0.25">
      <c r="B40" s="135"/>
      <c r="C40" s="149"/>
      <c r="D40" s="148" t="s">
        <v>37</v>
      </c>
      <c r="E40" s="149"/>
      <c r="F40" s="149"/>
      <c r="G40" s="149"/>
      <c r="H40" s="149" t="s">
        <v>29</v>
      </c>
      <c r="I40" s="204"/>
      <c r="J40" s="204"/>
      <c r="L40" s="149"/>
      <c r="M40" s="207"/>
      <c r="N40" s="149"/>
      <c r="O40" s="207"/>
      <c r="P40" s="208"/>
    </row>
    <row r="41" spans="1:20" x14ac:dyDescent="0.25">
      <c r="B41" s="135"/>
      <c r="C41" s="149"/>
      <c r="D41" s="209" t="str">
        <f>Basisgegevens!$D$25</f>
        <v>vrachtauto 6x6 12 m³</v>
      </c>
      <c r="E41" s="149"/>
      <c r="F41" s="149"/>
      <c r="G41" s="149"/>
      <c r="H41" s="210" t="s">
        <v>111</v>
      </c>
      <c r="I41" s="204">
        <f>12*1.7</f>
        <v>20.399999999999999</v>
      </c>
      <c r="J41" s="204"/>
      <c r="K41" s="204">
        <f>K42/I41</f>
        <v>0</v>
      </c>
      <c r="L41" s="149"/>
      <c r="M41" s="207">
        <f>Basisgegevens!$M$25</f>
        <v>55</v>
      </c>
      <c r="N41" s="149"/>
      <c r="O41" s="207">
        <f>K41*M41</f>
        <v>0</v>
      </c>
      <c r="P41" s="208"/>
    </row>
    <row r="42" spans="1:20" x14ac:dyDescent="0.25">
      <c r="B42" s="135"/>
      <c r="C42" s="149"/>
      <c r="D42" s="209" t="str">
        <f>Basisgegevens!$D$91</f>
        <v>stortkosten schone grond</v>
      </c>
      <c r="E42" s="149"/>
      <c r="F42" s="149"/>
      <c r="G42" s="149"/>
      <c r="H42" s="149" t="s">
        <v>54</v>
      </c>
      <c r="I42" s="204">
        <v>1</v>
      </c>
      <c r="J42" s="204"/>
      <c r="K42" s="204">
        <f>K37*0.5*1.7</f>
        <v>0</v>
      </c>
      <c r="L42" s="149"/>
      <c r="M42" s="207">
        <f>Basisgegevens!$M$91</f>
        <v>3.75</v>
      </c>
      <c r="N42" s="149"/>
      <c r="O42" s="207">
        <f>K42*M42</f>
        <v>0</v>
      </c>
      <c r="P42" s="208"/>
    </row>
    <row r="43" spans="1:20" x14ac:dyDescent="0.25">
      <c r="B43" s="211"/>
      <c r="C43" s="163"/>
      <c r="D43" s="163" t="s">
        <v>22</v>
      </c>
      <c r="E43" s="163"/>
      <c r="F43" s="163"/>
      <c r="G43" s="163"/>
      <c r="H43" s="163" t="s">
        <v>59</v>
      </c>
      <c r="I43" s="212"/>
      <c r="J43" s="163"/>
      <c r="K43" s="212">
        <f>K37</f>
        <v>0</v>
      </c>
      <c r="L43" s="163"/>
      <c r="M43" s="213" t="e">
        <f>O43/K37</f>
        <v>#DIV/0!</v>
      </c>
      <c r="N43" s="163"/>
      <c r="O43" s="213">
        <f>SUM(O38:O42)</f>
        <v>0</v>
      </c>
      <c r="P43" s="214"/>
    </row>
    <row r="44" spans="1:20" ht="5.0999999999999996" customHeight="1" thickBot="1" x14ac:dyDescent="0.3">
      <c r="B44" s="140"/>
      <c r="C44" s="142"/>
      <c r="D44" s="142"/>
      <c r="E44" s="142"/>
      <c r="F44" s="142"/>
      <c r="G44" s="142"/>
      <c r="H44" s="142"/>
      <c r="I44" s="141"/>
      <c r="J44" s="142"/>
      <c r="K44" s="141"/>
      <c r="L44" s="142"/>
      <c r="M44" s="142"/>
      <c r="N44" s="142"/>
      <c r="O44" s="142"/>
      <c r="P44" s="143"/>
    </row>
    <row r="45" spans="1:20" ht="30" customHeight="1" x14ac:dyDescent="0.25"/>
    <row r="46" spans="1:20" x14ac:dyDescent="0.25">
      <c r="A46" s="137"/>
      <c r="B46" s="137"/>
      <c r="C46" s="137"/>
      <c r="D46" s="137"/>
      <c r="E46" s="137"/>
      <c r="F46" s="137"/>
      <c r="G46" s="137"/>
      <c r="H46" s="137"/>
      <c r="I46" s="207"/>
      <c r="J46" s="137"/>
      <c r="K46" s="149"/>
      <c r="L46" s="137"/>
      <c r="M46" s="137"/>
      <c r="N46" s="137"/>
      <c r="O46" s="137"/>
      <c r="P46" s="137"/>
      <c r="Q46" s="137"/>
      <c r="R46" s="137"/>
      <c r="S46" s="137"/>
      <c r="T46" s="137"/>
    </row>
    <row r="47" spans="1:20" x14ac:dyDescent="0.25">
      <c r="A47" s="137"/>
      <c r="B47" s="137"/>
      <c r="C47" s="137"/>
      <c r="D47" s="137"/>
      <c r="E47" s="137"/>
      <c r="F47" s="137"/>
      <c r="G47" s="137"/>
      <c r="H47" s="137"/>
      <c r="I47" s="207"/>
      <c r="J47" s="137"/>
      <c r="K47" s="149"/>
      <c r="L47" s="137"/>
      <c r="M47" s="137"/>
      <c r="N47" s="137"/>
      <c r="O47" s="137"/>
      <c r="P47" s="137"/>
      <c r="Q47" s="137"/>
      <c r="R47" s="137"/>
      <c r="S47" s="137"/>
      <c r="T47" s="137"/>
    </row>
    <row r="48" spans="1:20" x14ac:dyDescent="0.25">
      <c r="A48" s="137"/>
      <c r="B48" s="137"/>
      <c r="C48" s="137"/>
      <c r="D48" s="137"/>
      <c r="E48" s="137"/>
      <c r="F48" s="137"/>
      <c r="G48" s="137"/>
      <c r="H48" s="137"/>
      <c r="I48" s="207"/>
      <c r="J48" s="137"/>
      <c r="K48" s="149"/>
      <c r="L48" s="137"/>
      <c r="M48" s="137"/>
      <c r="N48" s="137"/>
      <c r="O48" s="137"/>
      <c r="P48" s="137"/>
      <c r="Q48" s="137"/>
      <c r="R48" s="137"/>
      <c r="S48" s="137"/>
      <c r="T48" s="137"/>
    </row>
    <row r="49" spans="1:20" x14ac:dyDescent="0.25">
      <c r="A49" s="137"/>
      <c r="B49" s="137"/>
      <c r="C49" s="137"/>
      <c r="D49" s="137"/>
      <c r="E49" s="137"/>
      <c r="F49" s="137"/>
      <c r="G49" s="137"/>
      <c r="H49" s="137"/>
      <c r="I49" s="207"/>
      <c r="J49" s="137"/>
      <c r="K49" s="149"/>
      <c r="L49" s="137"/>
      <c r="M49" s="137"/>
      <c r="N49" s="137"/>
      <c r="O49" s="137"/>
      <c r="P49" s="137"/>
      <c r="Q49" s="137"/>
      <c r="R49" s="137"/>
      <c r="S49" s="137"/>
      <c r="T49" s="137"/>
    </row>
    <row r="50" spans="1:20" x14ac:dyDescent="0.25">
      <c r="A50" s="137"/>
      <c r="B50" s="137"/>
      <c r="C50" s="137"/>
      <c r="D50" s="137"/>
      <c r="E50" s="137"/>
      <c r="F50" s="137"/>
      <c r="G50" s="137"/>
      <c r="H50" s="137"/>
      <c r="I50" s="149"/>
      <c r="J50" s="137"/>
      <c r="K50" s="149"/>
      <c r="L50" s="137"/>
      <c r="M50" s="137"/>
      <c r="N50" s="137"/>
      <c r="O50" s="137"/>
      <c r="P50" s="137"/>
      <c r="Q50" s="137"/>
      <c r="R50" s="137"/>
      <c r="S50" s="137"/>
      <c r="T50" s="137"/>
    </row>
    <row r="51" spans="1:20" x14ac:dyDescent="0.25">
      <c r="A51" s="137"/>
      <c r="B51" s="137"/>
      <c r="C51" s="137"/>
      <c r="D51" s="137"/>
      <c r="E51" s="137"/>
      <c r="F51" s="215"/>
      <c r="G51" s="215"/>
      <c r="H51" s="137"/>
      <c r="I51" s="207"/>
      <c r="J51" s="137"/>
      <c r="K51" s="149"/>
      <c r="L51" s="137"/>
      <c r="M51" s="137"/>
      <c r="N51" s="137"/>
      <c r="O51" s="137"/>
      <c r="P51" s="137"/>
      <c r="Q51" s="137"/>
      <c r="R51" s="137"/>
      <c r="S51" s="137"/>
      <c r="T51" s="137"/>
    </row>
    <row r="52" spans="1:20" x14ac:dyDescent="0.25">
      <c r="A52" s="137"/>
      <c r="B52" s="137"/>
      <c r="C52" s="137"/>
      <c r="D52" s="137"/>
      <c r="E52" s="137"/>
      <c r="F52" s="137"/>
      <c r="G52" s="137"/>
      <c r="H52" s="137"/>
      <c r="I52" s="149"/>
      <c r="J52" s="137"/>
      <c r="K52" s="149"/>
      <c r="L52" s="137"/>
      <c r="M52" s="137"/>
      <c r="N52" s="137"/>
      <c r="O52" s="137"/>
      <c r="P52" s="137"/>
      <c r="Q52" s="137"/>
      <c r="R52" s="137"/>
      <c r="S52" s="137"/>
      <c r="T52" s="137"/>
    </row>
    <row r="53" spans="1:20" x14ac:dyDescent="0.25">
      <c r="A53" s="137"/>
      <c r="B53" s="137"/>
      <c r="C53" s="137"/>
      <c r="D53" s="137"/>
      <c r="E53" s="137"/>
      <c r="F53" s="215"/>
      <c r="G53" s="215"/>
      <c r="H53" s="137"/>
      <c r="I53" s="207"/>
      <c r="J53" s="137"/>
      <c r="K53" s="149"/>
      <c r="L53" s="137"/>
      <c r="M53" s="137"/>
      <c r="N53" s="137"/>
      <c r="O53" s="137"/>
      <c r="P53" s="137"/>
      <c r="Q53" s="137"/>
      <c r="R53" s="137"/>
      <c r="S53" s="137"/>
      <c r="T53" s="137"/>
    </row>
    <row r="54" spans="1:20" x14ac:dyDescent="0.25">
      <c r="A54" s="137"/>
      <c r="B54" s="137"/>
      <c r="C54" s="137"/>
      <c r="D54" s="137"/>
      <c r="E54" s="137"/>
      <c r="F54" s="137"/>
      <c r="G54" s="137"/>
      <c r="H54" s="137"/>
      <c r="I54" s="149"/>
      <c r="J54" s="137"/>
      <c r="K54" s="149"/>
      <c r="L54" s="137"/>
      <c r="M54" s="137"/>
      <c r="N54" s="137"/>
      <c r="O54" s="137"/>
      <c r="P54" s="137"/>
      <c r="Q54" s="137"/>
      <c r="R54" s="137"/>
      <c r="S54" s="137"/>
      <c r="T54" s="137"/>
    </row>
    <row r="55" spans="1:20" x14ac:dyDescent="0.25">
      <c r="A55" s="137"/>
      <c r="B55" s="137"/>
      <c r="C55" s="137"/>
      <c r="D55" s="137"/>
      <c r="E55" s="137"/>
      <c r="F55" s="137"/>
      <c r="G55" s="137"/>
      <c r="H55" s="137"/>
      <c r="I55" s="207"/>
      <c r="J55" s="137"/>
      <c r="K55" s="149"/>
      <c r="L55" s="137"/>
      <c r="M55" s="137"/>
      <c r="N55" s="137"/>
      <c r="O55" s="137"/>
      <c r="P55" s="137"/>
      <c r="Q55" s="137"/>
      <c r="R55" s="137"/>
      <c r="S55" s="137"/>
      <c r="T55" s="137"/>
    </row>
    <row r="56" spans="1:20" x14ac:dyDescent="0.25">
      <c r="A56" s="137"/>
      <c r="B56" s="137"/>
      <c r="C56" s="137"/>
      <c r="D56" s="137"/>
      <c r="E56" s="137"/>
      <c r="F56" s="137"/>
      <c r="G56" s="137"/>
      <c r="H56" s="137"/>
      <c r="I56" s="149"/>
      <c r="J56" s="137"/>
      <c r="K56" s="149"/>
      <c r="L56" s="137"/>
      <c r="M56" s="137"/>
      <c r="N56" s="137"/>
      <c r="O56" s="137"/>
      <c r="P56" s="137"/>
      <c r="Q56" s="137"/>
      <c r="R56" s="137"/>
      <c r="S56" s="137"/>
      <c r="T56" s="137"/>
    </row>
    <row r="57" spans="1:20" x14ac:dyDescent="0.25">
      <c r="A57" s="137"/>
      <c r="B57" s="137"/>
      <c r="C57" s="145"/>
      <c r="D57" s="137"/>
      <c r="E57" s="137"/>
      <c r="F57" s="137"/>
      <c r="G57" s="137"/>
      <c r="H57" s="137"/>
      <c r="I57" s="149"/>
      <c r="J57" s="137"/>
      <c r="K57" s="149"/>
      <c r="L57" s="137"/>
      <c r="M57" s="137"/>
      <c r="N57" s="137"/>
      <c r="O57" s="137"/>
      <c r="P57" s="137"/>
      <c r="Q57" s="137"/>
      <c r="R57" s="137"/>
      <c r="S57" s="137"/>
      <c r="T57" s="137"/>
    </row>
    <row r="58" spans="1:20" x14ac:dyDescent="0.25">
      <c r="A58" s="137"/>
      <c r="B58" s="137"/>
      <c r="C58" s="137"/>
      <c r="D58" s="137"/>
      <c r="E58" s="137"/>
      <c r="F58" s="137"/>
      <c r="G58" s="137"/>
      <c r="H58" s="137"/>
      <c r="I58" s="149"/>
      <c r="J58" s="137"/>
      <c r="K58" s="149"/>
      <c r="L58" s="137"/>
      <c r="M58" s="137"/>
      <c r="N58" s="137"/>
      <c r="O58" s="137"/>
      <c r="P58" s="137"/>
      <c r="Q58" s="137"/>
      <c r="R58" s="137"/>
      <c r="S58" s="137"/>
      <c r="T58" s="137"/>
    </row>
    <row r="59" spans="1:20" x14ac:dyDescent="0.25">
      <c r="A59" s="137"/>
      <c r="B59" s="137"/>
      <c r="C59" s="137"/>
      <c r="D59" s="137"/>
      <c r="E59" s="137"/>
      <c r="F59" s="137"/>
      <c r="G59" s="137"/>
      <c r="H59" s="137"/>
      <c r="I59" s="149"/>
      <c r="J59" s="137"/>
      <c r="K59" s="149"/>
      <c r="L59" s="137"/>
      <c r="M59" s="137"/>
      <c r="N59" s="137"/>
      <c r="O59" s="137"/>
      <c r="P59" s="137"/>
      <c r="Q59" s="137"/>
      <c r="R59" s="137"/>
      <c r="S59" s="137"/>
      <c r="T59" s="137"/>
    </row>
    <row r="60" spans="1:20" x14ac:dyDescent="0.25">
      <c r="A60" s="137"/>
      <c r="B60" s="137"/>
      <c r="C60" s="216"/>
      <c r="D60" s="137"/>
      <c r="E60" s="137"/>
      <c r="F60" s="137"/>
      <c r="G60" s="137"/>
      <c r="H60" s="137"/>
      <c r="I60" s="149"/>
      <c r="J60" s="137"/>
      <c r="K60" s="149"/>
      <c r="L60" s="137"/>
      <c r="M60" s="137"/>
      <c r="N60" s="137"/>
      <c r="O60" s="137"/>
      <c r="P60" s="137"/>
      <c r="Q60" s="137"/>
      <c r="R60" s="137"/>
      <c r="S60" s="137"/>
      <c r="T60" s="137"/>
    </row>
    <row r="61" spans="1:20" x14ac:dyDescent="0.25">
      <c r="A61" s="137"/>
      <c r="B61" s="137"/>
      <c r="C61" s="137"/>
      <c r="D61" s="137"/>
      <c r="E61" s="137"/>
      <c r="F61" s="137"/>
      <c r="G61" s="137"/>
      <c r="H61" s="137"/>
      <c r="I61" s="149"/>
      <c r="J61" s="137"/>
      <c r="K61" s="149"/>
      <c r="L61" s="137"/>
      <c r="M61" s="137"/>
      <c r="N61" s="137"/>
      <c r="O61" s="137"/>
      <c r="P61" s="137"/>
      <c r="Q61" s="137"/>
      <c r="R61" s="137"/>
      <c r="S61" s="137"/>
      <c r="T61" s="137"/>
    </row>
    <row r="62" spans="1:20" x14ac:dyDescent="0.25">
      <c r="A62" s="137"/>
      <c r="B62" s="137"/>
      <c r="C62" s="137"/>
      <c r="D62" s="137"/>
      <c r="E62" s="137"/>
      <c r="F62" s="137"/>
      <c r="G62" s="137"/>
      <c r="H62" s="137"/>
      <c r="I62" s="149"/>
      <c r="J62" s="137"/>
      <c r="K62" s="149"/>
      <c r="L62" s="137"/>
      <c r="M62" s="137"/>
      <c r="N62" s="137"/>
      <c r="O62" s="137"/>
      <c r="P62" s="137"/>
      <c r="Q62" s="137"/>
      <c r="R62" s="137"/>
      <c r="S62" s="137"/>
      <c r="T62" s="137"/>
    </row>
    <row r="63" spans="1:20" x14ac:dyDescent="0.25">
      <c r="A63" s="137"/>
      <c r="B63" s="137"/>
      <c r="C63" s="137"/>
      <c r="D63" s="137"/>
      <c r="E63" s="137"/>
      <c r="F63" s="137"/>
      <c r="G63" s="137"/>
      <c r="H63" s="137"/>
      <c r="I63" s="149"/>
      <c r="J63" s="137"/>
      <c r="K63" s="149"/>
      <c r="L63" s="137"/>
      <c r="M63" s="137"/>
      <c r="N63" s="137"/>
      <c r="O63" s="137"/>
      <c r="P63" s="137"/>
      <c r="Q63" s="137"/>
      <c r="R63" s="137"/>
      <c r="S63" s="137"/>
      <c r="T63" s="137"/>
    </row>
    <row r="64" spans="1:20" x14ac:dyDescent="0.25">
      <c r="A64" s="137"/>
      <c r="B64" s="137"/>
      <c r="C64" s="137"/>
      <c r="D64" s="137"/>
      <c r="E64" s="137"/>
      <c r="F64" s="137"/>
      <c r="G64" s="137"/>
      <c r="H64" s="137"/>
      <c r="I64" s="149"/>
      <c r="J64" s="137"/>
      <c r="K64" s="149"/>
      <c r="L64" s="137"/>
      <c r="M64" s="137"/>
      <c r="N64" s="137"/>
      <c r="O64" s="137"/>
      <c r="P64" s="137"/>
      <c r="Q64" s="137"/>
      <c r="R64" s="137"/>
      <c r="S64" s="137"/>
      <c r="T64" s="137"/>
    </row>
    <row r="65" spans="1:20" x14ac:dyDescent="0.25">
      <c r="A65" s="137"/>
      <c r="B65" s="137"/>
      <c r="C65" s="137"/>
      <c r="D65" s="137"/>
      <c r="E65" s="137"/>
      <c r="F65" s="137"/>
      <c r="G65" s="137"/>
      <c r="H65" s="137"/>
      <c r="I65" s="149"/>
      <c r="J65" s="137"/>
      <c r="K65" s="149"/>
      <c r="L65" s="137"/>
      <c r="M65" s="137"/>
      <c r="N65" s="137"/>
      <c r="O65" s="137"/>
      <c r="P65" s="137"/>
      <c r="Q65" s="137"/>
      <c r="R65" s="137"/>
      <c r="S65" s="137"/>
      <c r="T65" s="137"/>
    </row>
  </sheetData>
  <sheetProtection selectLockedCells="1" selectUnlockedCells="1"/>
  <mergeCells count="1">
    <mergeCell ref="D6:E6"/>
  </mergeCells>
  <phoneticPr fontId="0" type="noConversion"/>
  <printOptions horizontalCentered="1"/>
  <pageMargins left="0.78740157480314965" right="0.59055118110236227" top="0.98425196850393704" bottom="0.98425196850393704" header="0.51181102362204722" footer="0.51181102362204722"/>
  <pageSetup paperSize="9" scale="85" orientation="portrait" r:id="rId1"/>
  <headerFooter alignWithMargins="0">
    <oddFooter>&amp;L&amp;G
projectnummer: 0509&amp;Rconcept: 11 april 2007
blad &amp;P van &amp;N</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B1:R251"/>
  <sheetViews>
    <sheetView showGridLines="0" topLeftCell="A73" zoomScaleNormal="100" zoomScaleSheetLayoutView="100" workbookViewId="0">
      <selection activeCell="K15" sqref="K15"/>
    </sheetView>
  </sheetViews>
  <sheetFormatPr defaultRowHeight="15" x14ac:dyDescent="0.25"/>
  <cols>
    <col min="1" max="1" width="2.7109375" customWidth="1"/>
    <col min="2" max="2" width="1.7109375" customWidth="1"/>
    <col min="3" max="5" width="8.7109375" customWidth="1"/>
    <col min="6" max="7" width="5.7109375" customWidth="1"/>
    <col min="8" max="8" width="10.7109375" style="21" customWidth="1"/>
    <col min="9" max="9" width="7.7109375" bestFit="1" customWidth="1"/>
    <col min="10" max="10" width="2.7109375" customWidth="1"/>
    <col min="11" max="11" width="10.7109375" customWidth="1"/>
    <col min="12" max="12" width="2.7109375" customWidth="1"/>
    <col min="13" max="13" width="15.7109375" customWidth="1"/>
    <col min="14" max="14" width="5.7109375" customWidth="1"/>
    <col min="15" max="15" width="15.7109375" customWidth="1"/>
    <col min="16" max="16" width="1.7109375" customWidth="1"/>
  </cols>
  <sheetData>
    <row r="1" spans="2:18" ht="15.75" thickBot="1" x14ac:dyDescent="0.3"/>
    <row r="2" spans="2:18" ht="5.0999999999999996" customHeight="1" x14ac:dyDescent="0.25">
      <c r="B2" s="3"/>
      <c r="C2" s="4"/>
      <c r="D2" s="4"/>
      <c r="E2" s="4"/>
      <c r="F2" s="4"/>
      <c r="G2" s="4"/>
      <c r="H2" s="4"/>
      <c r="I2" s="4"/>
      <c r="J2" s="107"/>
      <c r="K2" s="4"/>
      <c r="L2" s="4"/>
      <c r="M2" s="4"/>
      <c r="N2" s="4"/>
      <c r="O2" s="4"/>
      <c r="P2" s="5"/>
    </row>
    <row r="3" spans="2:18" ht="18.75" x14ac:dyDescent="0.3">
      <c r="B3" s="6"/>
      <c r="C3" s="116" t="s">
        <v>298</v>
      </c>
      <c r="D3" s="116"/>
      <c r="E3" s="116"/>
      <c r="F3" s="116"/>
      <c r="G3" s="116"/>
      <c r="H3"/>
      <c r="J3" s="106"/>
      <c r="P3" s="8"/>
    </row>
    <row r="4" spans="2:18" x14ac:dyDescent="0.25">
      <c r="B4" s="6"/>
      <c r="C4" s="28" t="s">
        <v>27</v>
      </c>
      <c r="D4" s="28"/>
      <c r="E4" s="28"/>
      <c r="F4" s="28"/>
      <c r="G4" s="28"/>
      <c r="H4" s="28"/>
      <c r="I4" s="28"/>
      <c r="J4" s="28"/>
      <c r="K4" s="28"/>
      <c r="P4" s="8"/>
    </row>
    <row r="5" spans="2:18" ht="18.75" x14ac:dyDescent="0.3">
      <c r="B5" s="6"/>
      <c r="C5" s="116"/>
      <c r="H5"/>
      <c r="J5" s="106"/>
      <c r="P5" s="8"/>
    </row>
    <row r="6" spans="2:18" x14ac:dyDescent="0.25">
      <c r="B6" s="6"/>
      <c r="C6" s="300" t="s">
        <v>1</v>
      </c>
      <c r="D6" s="440">
        <f>Samenvatting!E6</f>
        <v>43186</v>
      </c>
      <c r="E6" s="440">
        <v>0</v>
      </c>
      <c r="H6"/>
      <c r="J6" s="106"/>
      <c r="P6" s="8"/>
    </row>
    <row r="7" spans="2:18" x14ac:dyDescent="0.25">
      <c r="B7" s="6"/>
      <c r="C7" s="301" t="s">
        <v>26</v>
      </c>
      <c r="D7" s="302">
        <f>Samenvatting!E7</f>
        <v>0</v>
      </c>
      <c r="E7" s="302"/>
      <c r="H7"/>
      <c r="J7" s="106"/>
      <c r="P7" s="8"/>
    </row>
    <row r="8" spans="2:18" ht="5.0999999999999996" customHeight="1" thickBot="1" x14ac:dyDescent="0.3">
      <c r="B8" s="12"/>
      <c r="C8" s="15"/>
      <c r="D8" s="13"/>
      <c r="E8" s="13"/>
      <c r="F8" s="13"/>
      <c r="G8" s="13"/>
      <c r="H8" s="13"/>
      <c r="I8" s="13"/>
      <c r="J8" s="108"/>
      <c r="K8" s="13"/>
      <c r="L8" s="13"/>
      <c r="M8" s="13"/>
      <c r="N8" s="13"/>
      <c r="O8" s="13"/>
      <c r="P8" s="14"/>
    </row>
    <row r="9" spans="2:18" ht="30" customHeight="1" thickBot="1" x14ac:dyDescent="0.3"/>
    <row r="10" spans="2:18" ht="5.0999999999999996" customHeight="1" x14ac:dyDescent="0.25">
      <c r="B10" s="3"/>
      <c r="C10" s="4"/>
      <c r="D10" s="4"/>
      <c r="E10" s="4"/>
      <c r="F10" s="4"/>
      <c r="G10" s="4"/>
      <c r="H10" s="55"/>
      <c r="I10" s="4"/>
      <c r="J10" s="4"/>
      <c r="K10" s="4"/>
      <c r="L10" s="4"/>
      <c r="M10" s="4"/>
      <c r="N10" s="4"/>
      <c r="O10" s="4"/>
      <c r="P10" s="5"/>
    </row>
    <row r="11" spans="2:18" x14ac:dyDescent="0.25">
      <c r="B11" s="34"/>
      <c r="C11" s="94"/>
      <c r="D11" s="36"/>
      <c r="E11" s="36"/>
      <c r="F11" s="36"/>
      <c r="G11" s="36"/>
      <c r="H11" s="36"/>
      <c r="I11" s="44"/>
      <c r="J11" s="36"/>
      <c r="K11" s="44"/>
      <c r="L11" s="36"/>
      <c r="M11" s="36"/>
      <c r="N11" s="36"/>
      <c r="O11" s="36"/>
      <c r="P11" s="37"/>
      <c r="R11" s="105" t="s">
        <v>137</v>
      </c>
    </row>
    <row r="12" spans="2:18" x14ac:dyDescent="0.25">
      <c r="B12" s="34"/>
      <c r="C12" s="35" t="s">
        <v>424</v>
      </c>
      <c r="D12" s="36"/>
      <c r="E12" s="36"/>
      <c r="F12" s="36"/>
      <c r="G12" s="36"/>
      <c r="H12"/>
      <c r="I12" s="44"/>
      <c r="K12" s="44"/>
      <c r="L12" s="36"/>
      <c r="M12" s="113"/>
      <c r="N12" s="1"/>
      <c r="O12" s="71" t="s">
        <v>62</v>
      </c>
      <c r="P12" s="37"/>
      <c r="R12" t="s">
        <v>154</v>
      </c>
    </row>
    <row r="13" spans="2:18" ht="15.75" thickBot="1" x14ac:dyDescent="0.3">
      <c r="B13" s="68"/>
      <c r="C13" s="48" t="s">
        <v>56</v>
      </c>
      <c r="D13" s="48" t="s">
        <v>55</v>
      </c>
      <c r="E13" s="50"/>
      <c r="F13" s="48"/>
      <c r="G13" s="48"/>
      <c r="H13" s="48" t="s">
        <v>107</v>
      </c>
      <c r="I13" s="78" t="s">
        <v>108</v>
      </c>
      <c r="J13" s="69"/>
      <c r="K13" s="82" t="s">
        <v>110</v>
      </c>
      <c r="L13" s="48"/>
      <c r="M13" s="48" t="s">
        <v>109</v>
      </c>
      <c r="N13" s="48"/>
      <c r="O13" s="48" t="s">
        <v>19</v>
      </c>
      <c r="P13" s="70"/>
      <c r="R13" t="s">
        <v>175</v>
      </c>
    </row>
    <row r="14" spans="2:18" x14ac:dyDescent="0.25">
      <c r="B14" s="84"/>
      <c r="C14" s="85"/>
      <c r="D14" s="86" t="s">
        <v>424</v>
      </c>
      <c r="E14" s="85"/>
      <c r="F14" s="85"/>
      <c r="G14" s="85"/>
      <c r="H14" s="100" t="s">
        <v>29</v>
      </c>
      <c r="I14" s="17"/>
      <c r="J14" s="9"/>
      <c r="K14" s="87">
        <f>SUM(Input!G60)</f>
        <v>0</v>
      </c>
      <c r="L14" s="86"/>
      <c r="M14" s="86"/>
      <c r="N14" s="86"/>
      <c r="O14" s="86"/>
      <c r="P14" s="99"/>
      <c r="R14" t="s">
        <v>153</v>
      </c>
    </row>
    <row r="15" spans="2:18" x14ac:dyDescent="0.25">
      <c r="B15" s="84"/>
      <c r="C15" s="85"/>
      <c r="D15" s="45" t="str">
        <f>Basisgegevens!$D$36</f>
        <v>hydraulische rupskraan 1 m³</v>
      </c>
      <c r="E15" s="85"/>
      <c r="F15" s="85"/>
      <c r="G15" s="85"/>
      <c r="H15" s="86" t="s">
        <v>111</v>
      </c>
      <c r="I15" s="87">
        <v>15</v>
      </c>
      <c r="J15" s="9"/>
      <c r="K15" s="87">
        <f>K14/I15</f>
        <v>0</v>
      </c>
      <c r="L15" s="86"/>
      <c r="M15" s="98">
        <f>Basisgegevens!$M$36</f>
        <v>70</v>
      </c>
      <c r="N15" s="86"/>
      <c r="O15" s="81">
        <f>K15*M15</f>
        <v>0</v>
      </c>
      <c r="P15" s="99"/>
      <c r="R15" t="s">
        <v>155</v>
      </c>
    </row>
    <row r="16" spans="2:18" x14ac:dyDescent="0.25">
      <c r="B16" s="84"/>
      <c r="C16" s="85"/>
      <c r="D16" s="45" t="str">
        <f>Basisgegevens!$D$13</f>
        <v>grondwerker</v>
      </c>
      <c r="E16" s="85"/>
      <c r="F16" s="85"/>
      <c r="G16" s="85"/>
      <c r="H16" s="100" t="s">
        <v>111</v>
      </c>
      <c r="I16" s="90">
        <v>15</v>
      </c>
      <c r="J16" s="9"/>
      <c r="K16" s="87">
        <f>K14/I16</f>
        <v>0</v>
      </c>
      <c r="L16" s="86"/>
      <c r="M16" s="98">
        <f>Basisgegevens!$M$13</f>
        <v>35</v>
      </c>
      <c r="N16" s="86"/>
      <c r="O16" s="81">
        <f>K16*M16</f>
        <v>0</v>
      </c>
      <c r="P16" s="99"/>
      <c r="R16" t="s">
        <v>156</v>
      </c>
    </row>
    <row r="17" spans="2:18" x14ac:dyDescent="0.25">
      <c r="B17" s="84"/>
      <c r="C17" s="85"/>
      <c r="D17" s="86" t="s">
        <v>157</v>
      </c>
      <c r="E17" s="85"/>
      <c r="F17" s="85"/>
      <c r="G17" s="85"/>
      <c r="H17" s="100" t="s">
        <v>60</v>
      </c>
      <c r="I17" s="90"/>
      <c r="J17" s="9"/>
      <c r="K17" s="87"/>
      <c r="L17" s="86"/>
      <c r="M17" s="88"/>
      <c r="N17" s="86"/>
      <c r="O17" s="81"/>
      <c r="P17" s="99"/>
    </row>
    <row r="18" spans="2:18" x14ac:dyDescent="0.25">
      <c r="B18" s="84"/>
      <c r="C18" s="85"/>
      <c r="D18" s="45" t="str">
        <f>Basisgegevens!$D$36</f>
        <v>hydraulische rupskraan 1 m³</v>
      </c>
      <c r="E18" s="85"/>
      <c r="F18" s="85"/>
      <c r="G18" s="85"/>
      <c r="H18" s="86" t="s">
        <v>111</v>
      </c>
      <c r="I18" s="87">
        <v>2</v>
      </c>
      <c r="J18" s="9"/>
      <c r="K18" s="87">
        <f>K14/I18/45</f>
        <v>0</v>
      </c>
      <c r="L18" s="86"/>
      <c r="M18" s="98">
        <f>Basisgegevens!$M$36</f>
        <v>70</v>
      </c>
      <c r="N18" s="86"/>
      <c r="O18" s="81">
        <f>K18*M18</f>
        <v>0</v>
      </c>
      <c r="P18" s="99"/>
    </row>
    <row r="19" spans="2:18" x14ac:dyDescent="0.25">
      <c r="B19" s="84"/>
      <c r="C19" s="85"/>
      <c r="D19" s="45" t="str">
        <f>Basisgegevens!$D$13</f>
        <v>grondwerker</v>
      </c>
      <c r="E19" s="85"/>
      <c r="F19" s="85"/>
      <c r="G19" s="85"/>
      <c r="H19" s="100" t="s">
        <v>111</v>
      </c>
      <c r="I19" s="90">
        <v>2</v>
      </c>
      <c r="J19" s="9"/>
      <c r="K19" s="87">
        <f>K14/I19/45</f>
        <v>0</v>
      </c>
      <c r="L19" s="86"/>
      <c r="M19" s="98">
        <f>Basisgegevens!$M$13</f>
        <v>35</v>
      </c>
      <c r="N19" s="86"/>
      <c r="O19" s="81">
        <f>K19*M19</f>
        <v>0</v>
      </c>
      <c r="P19" s="99"/>
    </row>
    <row r="20" spans="2:18" x14ac:dyDescent="0.25">
      <c r="B20" s="84"/>
      <c r="C20" s="85"/>
      <c r="D20" s="86" t="s">
        <v>162</v>
      </c>
      <c r="E20" s="85"/>
      <c r="F20" s="85"/>
      <c r="G20" s="85"/>
      <c r="H20" s="86" t="s">
        <v>29</v>
      </c>
      <c r="I20" s="89"/>
      <c r="J20" s="9"/>
      <c r="K20" s="87"/>
      <c r="L20" s="86"/>
      <c r="M20" s="86"/>
      <c r="N20" s="86"/>
      <c r="O20" s="86"/>
      <c r="P20" s="99"/>
    </row>
    <row r="21" spans="2:18" x14ac:dyDescent="0.25">
      <c r="B21" s="84"/>
      <c r="C21" s="85"/>
      <c r="D21" s="45" t="str">
        <f>Basisgegevens!$D$57</f>
        <v xml:space="preserve">reinigingsset, zuig- en tankwagen incl. bediening </v>
      </c>
      <c r="E21" s="85"/>
      <c r="F21" s="85"/>
      <c r="G21" s="85"/>
      <c r="H21" s="86" t="s">
        <v>170</v>
      </c>
      <c r="I21" s="87">
        <v>700</v>
      </c>
      <c r="J21" s="9"/>
      <c r="K21" s="87">
        <f>K14/I21</f>
        <v>0</v>
      </c>
      <c r="L21" s="86"/>
      <c r="M21" s="98">
        <f>Basisgegevens!$M$57</f>
        <v>1200</v>
      </c>
      <c r="N21" s="86"/>
      <c r="O21" s="81">
        <f>M21*K21</f>
        <v>0</v>
      </c>
      <c r="P21" s="99"/>
    </row>
    <row r="22" spans="2:18" x14ac:dyDescent="0.25">
      <c r="B22" s="84"/>
      <c r="C22" s="85"/>
      <c r="D22" s="86" t="s">
        <v>172</v>
      </c>
      <c r="E22" s="85"/>
      <c r="F22" s="85"/>
      <c r="G22" s="85"/>
      <c r="H22" s="100" t="s">
        <v>168</v>
      </c>
      <c r="I22" s="90"/>
      <c r="J22" s="9"/>
      <c r="K22" s="87"/>
      <c r="L22" s="86"/>
      <c r="M22" s="86"/>
      <c r="N22" s="86"/>
      <c r="O22" s="86"/>
      <c r="P22" s="99"/>
    </row>
    <row r="23" spans="2:18" x14ac:dyDescent="0.25">
      <c r="B23" s="84"/>
      <c r="C23" s="85"/>
      <c r="D23" s="45" t="str">
        <f>Basisgegevens!$D$95</f>
        <v>stortkosten rioolslib</v>
      </c>
      <c r="E23" s="85"/>
      <c r="F23" s="85"/>
      <c r="G23" s="85"/>
      <c r="H23" s="100" t="s">
        <v>168</v>
      </c>
      <c r="I23" s="96">
        <v>1</v>
      </c>
      <c r="J23" s="9"/>
      <c r="K23" s="90">
        <f>K14*0.15*0.19/1.5</f>
        <v>0</v>
      </c>
      <c r="L23" s="86"/>
      <c r="M23" s="98">
        <f>Basisgegevens!$M$95</f>
        <v>57</v>
      </c>
      <c r="N23" s="86"/>
      <c r="O23" s="81">
        <f>M23*K23</f>
        <v>0</v>
      </c>
      <c r="P23" s="99"/>
    </row>
    <row r="24" spans="2:18" x14ac:dyDescent="0.25">
      <c r="B24" s="6"/>
      <c r="C24" s="10"/>
      <c r="D24" s="9" t="s">
        <v>150</v>
      </c>
      <c r="E24" s="10"/>
      <c r="F24" s="10"/>
      <c r="G24" s="10"/>
      <c r="H24" s="10" t="s">
        <v>29</v>
      </c>
      <c r="I24" s="79"/>
      <c r="J24" s="79"/>
      <c r="K24" s="17"/>
      <c r="L24" s="10"/>
      <c r="M24" s="81"/>
      <c r="N24" s="10"/>
      <c r="O24" s="81"/>
      <c r="P24" s="101"/>
    </row>
    <row r="25" spans="2:18" x14ac:dyDescent="0.25">
      <c r="B25" s="6"/>
      <c r="C25" s="10"/>
      <c r="D25" s="67" t="str">
        <f>Basisgegevens!$D$25</f>
        <v>vrachtauto 6x6 12 m³</v>
      </c>
      <c r="E25" s="10"/>
      <c r="F25" s="10"/>
      <c r="G25" s="10"/>
      <c r="H25" s="102" t="s">
        <v>111</v>
      </c>
      <c r="I25" s="79">
        <f>12*2.25</f>
        <v>27</v>
      </c>
      <c r="J25" s="79"/>
      <c r="K25" s="79">
        <f>K26/I25*2</f>
        <v>0</v>
      </c>
      <c r="L25" s="10"/>
      <c r="M25" s="81">
        <f>Basisgegevens!$M$25</f>
        <v>55</v>
      </c>
      <c r="N25" s="10"/>
      <c r="O25" s="81">
        <f>K25*M25</f>
        <v>0</v>
      </c>
      <c r="P25" s="101"/>
    </row>
    <row r="26" spans="2:18" x14ac:dyDescent="0.25">
      <c r="B26" s="6"/>
      <c r="C26" s="10"/>
      <c r="D26" s="67" t="str">
        <f>Basisgegevens!$D$94</f>
        <v>stortkosten betonpuin/steenachtigmateriaal</v>
      </c>
      <c r="E26" s="10"/>
      <c r="F26" s="10"/>
      <c r="G26" s="10"/>
      <c r="H26" s="10" t="s">
        <v>168</v>
      </c>
      <c r="I26" s="79">
        <v>1</v>
      </c>
      <c r="J26" s="79"/>
      <c r="K26" s="79">
        <f>(K14/2.4*0.7)+(K14/45*1.5)</f>
        <v>0</v>
      </c>
      <c r="L26" s="10"/>
      <c r="M26" s="81">
        <f>Basisgegevens!$M$94</f>
        <v>5.75</v>
      </c>
      <c r="N26" s="10"/>
      <c r="O26" s="81">
        <f>K26*M26</f>
        <v>0</v>
      </c>
      <c r="P26" s="101"/>
    </row>
    <row r="27" spans="2:18" x14ac:dyDescent="0.25">
      <c r="B27" s="73"/>
      <c r="C27" s="83"/>
      <c r="D27" s="83" t="s">
        <v>22</v>
      </c>
      <c r="E27" s="83"/>
      <c r="F27" s="83"/>
      <c r="G27" s="83"/>
      <c r="H27" s="83" t="s">
        <v>29</v>
      </c>
      <c r="I27" s="80"/>
      <c r="J27" s="83"/>
      <c r="K27" s="80">
        <f>K14</f>
        <v>0</v>
      </c>
      <c r="L27" s="83"/>
      <c r="M27" s="103" t="e">
        <f>O27/K14</f>
        <v>#DIV/0!</v>
      </c>
      <c r="N27" s="83"/>
      <c r="O27" s="103">
        <f>SUM(O14:O26)</f>
        <v>0</v>
      </c>
      <c r="P27" s="104"/>
    </row>
    <row r="28" spans="2:18" ht="5.0999999999999996" customHeight="1" thickBot="1" x14ac:dyDescent="0.3">
      <c r="B28" s="12"/>
      <c r="C28" s="13"/>
      <c r="D28" s="13"/>
      <c r="E28" s="13"/>
      <c r="F28" s="13"/>
      <c r="G28" s="13"/>
      <c r="H28" s="13"/>
      <c r="I28" s="15"/>
      <c r="J28" s="13"/>
      <c r="K28" s="15"/>
      <c r="L28" s="13"/>
      <c r="M28" s="13"/>
      <c r="N28" s="13"/>
      <c r="O28" s="13"/>
      <c r="P28" s="14"/>
    </row>
    <row r="29" spans="2:18" ht="30" customHeight="1" thickBot="1" x14ac:dyDescent="0.3"/>
    <row r="30" spans="2:18" ht="5.0999999999999996" customHeight="1" x14ac:dyDescent="0.25">
      <c r="B30" s="3"/>
      <c r="C30" s="4"/>
      <c r="D30" s="4"/>
      <c r="E30" s="4"/>
      <c r="F30" s="4"/>
      <c r="G30" s="4"/>
      <c r="H30" s="55"/>
      <c r="I30" s="4"/>
      <c r="J30" s="4"/>
      <c r="K30" s="4"/>
      <c r="L30" s="4"/>
      <c r="M30" s="4"/>
      <c r="N30" s="4"/>
      <c r="O30" s="4"/>
      <c r="P30" s="5"/>
    </row>
    <row r="31" spans="2:18" x14ac:dyDescent="0.25">
      <c r="B31" s="34"/>
      <c r="C31" s="94"/>
      <c r="D31" s="36"/>
      <c r="E31" s="36"/>
      <c r="F31" s="36"/>
      <c r="G31" s="36"/>
      <c r="H31" s="36"/>
      <c r="I31" s="44"/>
      <c r="J31" s="36"/>
      <c r="K31" s="44"/>
      <c r="L31" s="36"/>
      <c r="M31" s="36"/>
      <c r="N31" s="36"/>
      <c r="O31" s="36"/>
      <c r="P31" s="37"/>
      <c r="R31" s="105" t="s">
        <v>137</v>
      </c>
    </row>
    <row r="32" spans="2:18" x14ac:dyDescent="0.25">
      <c r="B32" s="34"/>
      <c r="C32" s="35" t="s">
        <v>425</v>
      </c>
      <c r="D32" s="36"/>
      <c r="E32" s="36"/>
      <c r="F32" s="36"/>
      <c r="G32" s="36"/>
      <c r="H32"/>
      <c r="I32" s="44"/>
      <c r="K32" s="44"/>
      <c r="L32" s="36"/>
      <c r="M32" s="1"/>
      <c r="N32" s="1"/>
      <c r="O32" s="71" t="s">
        <v>62</v>
      </c>
      <c r="P32" s="37"/>
      <c r="R32" t="s">
        <v>154</v>
      </c>
    </row>
    <row r="33" spans="2:18" ht="15.75" thickBot="1" x14ac:dyDescent="0.3">
      <c r="B33" s="68"/>
      <c r="C33" s="48" t="s">
        <v>56</v>
      </c>
      <c r="D33" s="48" t="s">
        <v>55</v>
      </c>
      <c r="E33" s="50"/>
      <c r="F33" s="48"/>
      <c r="G33" s="48"/>
      <c r="H33" s="48" t="s">
        <v>107</v>
      </c>
      <c r="I33" s="78" t="s">
        <v>108</v>
      </c>
      <c r="J33" s="69"/>
      <c r="K33" s="82" t="s">
        <v>110</v>
      </c>
      <c r="L33" s="48"/>
      <c r="M33" s="48" t="s">
        <v>109</v>
      </c>
      <c r="N33" s="48"/>
      <c r="O33" s="48" t="s">
        <v>19</v>
      </c>
      <c r="P33" s="70"/>
      <c r="R33" t="s">
        <v>175</v>
      </c>
    </row>
    <row r="34" spans="2:18" x14ac:dyDescent="0.25">
      <c r="B34" s="84"/>
      <c r="C34" s="85"/>
      <c r="D34" s="86" t="s">
        <v>425</v>
      </c>
      <c r="E34" s="85"/>
      <c r="F34" s="85"/>
      <c r="G34" s="85"/>
      <c r="H34" s="100" t="s">
        <v>29</v>
      </c>
      <c r="I34" s="17"/>
      <c r="J34" s="9"/>
      <c r="K34" s="87">
        <f>SUM(Input!I60)</f>
        <v>0</v>
      </c>
      <c r="L34" s="86"/>
      <c r="M34" s="86"/>
      <c r="N34" s="86"/>
      <c r="O34" s="86"/>
      <c r="P34" s="99"/>
      <c r="R34" t="s">
        <v>153</v>
      </c>
    </row>
    <row r="35" spans="2:18" x14ac:dyDescent="0.25">
      <c r="B35" s="84"/>
      <c r="C35" s="85"/>
      <c r="D35" s="45" t="str">
        <f>Basisgegevens!$D$36</f>
        <v>hydraulische rupskraan 1 m³</v>
      </c>
      <c r="E35" s="85"/>
      <c r="F35" s="85"/>
      <c r="G35" s="85"/>
      <c r="H35" s="86" t="s">
        <v>111</v>
      </c>
      <c r="I35" s="87">
        <v>10</v>
      </c>
      <c r="J35" s="9"/>
      <c r="K35" s="87">
        <f>K34/I35</f>
        <v>0</v>
      </c>
      <c r="L35" s="86"/>
      <c r="M35" s="98">
        <f>Basisgegevens!$M$36</f>
        <v>70</v>
      </c>
      <c r="N35" s="86"/>
      <c r="O35" s="81">
        <f>K35*M35</f>
        <v>0</v>
      </c>
      <c r="P35" s="99"/>
      <c r="R35" t="s">
        <v>159</v>
      </c>
    </row>
    <row r="36" spans="2:18" x14ac:dyDescent="0.25">
      <c r="B36" s="84"/>
      <c r="C36" s="85"/>
      <c r="D36" s="45" t="str">
        <f>Basisgegevens!$D$13</f>
        <v>grondwerker</v>
      </c>
      <c r="E36" s="85"/>
      <c r="F36" s="85"/>
      <c r="G36" s="85"/>
      <c r="H36" s="100" t="s">
        <v>111</v>
      </c>
      <c r="I36" s="90">
        <v>10</v>
      </c>
      <c r="J36" s="9"/>
      <c r="K36" s="87">
        <f>K34/I36</f>
        <v>0</v>
      </c>
      <c r="L36" s="86"/>
      <c r="M36" s="98">
        <f>Basisgegevens!$M$13</f>
        <v>35</v>
      </c>
      <c r="N36" s="86"/>
      <c r="O36" s="81">
        <f>K36*M36</f>
        <v>0</v>
      </c>
      <c r="P36" s="99"/>
      <c r="R36" t="s">
        <v>167</v>
      </c>
    </row>
    <row r="37" spans="2:18" x14ac:dyDescent="0.25">
      <c r="B37" s="84"/>
      <c r="C37" s="85"/>
      <c r="D37" s="86" t="s">
        <v>158</v>
      </c>
      <c r="E37" s="85"/>
      <c r="F37" s="85"/>
      <c r="G37" s="85"/>
      <c r="H37" s="100" t="s">
        <v>60</v>
      </c>
      <c r="I37" s="90"/>
      <c r="J37" s="9"/>
      <c r="K37" s="87"/>
      <c r="L37" s="86"/>
      <c r="M37" s="88"/>
      <c r="N37" s="86"/>
      <c r="O37" s="81"/>
      <c r="P37" s="99"/>
    </row>
    <row r="38" spans="2:18" x14ac:dyDescent="0.25">
      <c r="B38" s="84"/>
      <c r="C38" s="85"/>
      <c r="D38" s="45" t="str">
        <f>Basisgegevens!$D$36</f>
        <v>hydraulische rupskraan 1 m³</v>
      </c>
      <c r="E38" s="85"/>
      <c r="F38" s="85"/>
      <c r="G38" s="85"/>
      <c r="H38" s="86" t="s">
        <v>111</v>
      </c>
      <c r="I38" s="87">
        <v>1</v>
      </c>
      <c r="J38" s="9"/>
      <c r="K38" s="87">
        <f>K34/I38/45</f>
        <v>0</v>
      </c>
      <c r="L38" s="86"/>
      <c r="M38" s="98">
        <f>Basisgegevens!$M$36</f>
        <v>70</v>
      </c>
      <c r="N38" s="86"/>
      <c r="O38" s="81">
        <f>K38*M38</f>
        <v>0</v>
      </c>
      <c r="P38" s="99"/>
    </row>
    <row r="39" spans="2:18" x14ac:dyDescent="0.25">
      <c r="B39" s="84"/>
      <c r="C39" s="85"/>
      <c r="D39" s="45" t="str">
        <f>Basisgegevens!$D$13</f>
        <v>grondwerker</v>
      </c>
      <c r="E39" s="85"/>
      <c r="F39" s="85"/>
      <c r="G39" s="85"/>
      <c r="H39" s="100" t="s">
        <v>111</v>
      </c>
      <c r="I39" s="90">
        <v>1</v>
      </c>
      <c r="J39" s="9"/>
      <c r="K39" s="87">
        <f>K34/I39/45</f>
        <v>0</v>
      </c>
      <c r="L39" s="86"/>
      <c r="M39" s="98">
        <f>Basisgegevens!$M$13</f>
        <v>35</v>
      </c>
      <c r="N39" s="86"/>
      <c r="O39" s="81">
        <f>K39*M39</f>
        <v>0</v>
      </c>
      <c r="P39" s="99"/>
    </row>
    <row r="40" spans="2:18" x14ac:dyDescent="0.25">
      <c r="B40" s="84"/>
      <c r="C40" s="85"/>
      <c r="D40" s="86" t="s">
        <v>162</v>
      </c>
      <c r="E40" s="85"/>
      <c r="F40" s="85"/>
      <c r="G40" s="85"/>
      <c r="H40" s="86" t="s">
        <v>29</v>
      </c>
      <c r="I40" s="89"/>
      <c r="J40" s="9"/>
      <c r="K40" s="87"/>
      <c r="L40" s="86"/>
      <c r="M40" s="86"/>
      <c r="N40" s="86"/>
      <c r="O40" s="86"/>
      <c r="P40" s="99"/>
    </row>
    <row r="41" spans="2:18" x14ac:dyDescent="0.25">
      <c r="B41" s="84"/>
      <c r="C41" s="85"/>
      <c r="D41" s="45" t="str">
        <f>Basisgegevens!$D$57</f>
        <v xml:space="preserve">reinigingsset, zuig- en tankwagen incl. bediening </v>
      </c>
      <c r="E41" s="85"/>
      <c r="F41" s="85"/>
      <c r="G41" s="85"/>
      <c r="H41" s="86" t="s">
        <v>170</v>
      </c>
      <c r="I41" s="87">
        <v>600</v>
      </c>
      <c r="J41" s="9"/>
      <c r="K41" s="87">
        <f>K34/I41</f>
        <v>0</v>
      </c>
      <c r="L41" s="86"/>
      <c r="M41" s="98">
        <f>Basisgegevens!$M$57</f>
        <v>1200</v>
      </c>
      <c r="N41" s="86"/>
      <c r="O41" s="81">
        <f>M41*K41</f>
        <v>0</v>
      </c>
      <c r="P41" s="99"/>
    </row>
    <row r="42" spans="2:18" x14ac:dyDescent="0.25">
      <c r="B42" s="84"/>
      <c r="C42" s="85"/>
      <c r="D42" s="86" t="s">
        <v>172</v>
      </c>
      <c r="E42" s="85"/>
      <c r="F42" s="85"/>
      <c r="G42" s="85"/>
      <c r="H42" s="100" t="s">
        <v>168</v>
      </c>
      <c r="I42" s="90"/>
      <c r="J42" s="9"/>
      <c r="K42" s="87"/>
      <c r="L42" s="86"/>
      <c r="M42" s="86"/>
      <c r="N42" s="86"/>
      <c r="O42" s="86"/>
      <c r="P42" s="99"/>
    </row>
    <row r="43" spans="2:18" x14ac:dyDescent="0.25">
      <c r="B43" s="84"/>
      <c r="C43" s="85"/>
      <c r="D43" s="45" t="str">
        <f>Basisgegevens!$D$95</f>
        <v>stortkosten rioolslib</v>
      </c>
      <c r="E43" s="85"/>
      <c r="F43" s="85"/>
      <c r="G43" s="85"/>
      <c r="H43" s="100" t="s">
        <v>168</v>
      </c>
      <c r="I43" s="96">
        <v>1</v>
      </c>
      <c r="J43" s="9"/>
      <c r="K43" s="90">
        <f>K34*0.15*0.8/1.5</f>
        <v>0</v>
      </c>
      <c r="L43" s="86"/>
      <c r="M43" s="98">
        <f>Basisgegevens!$M$95</f>
        <v>57</v>
      </c>
      <c r="N43" s="86"/>
      <c r="O43" s="81">
        <f>M43*K43</f>
        <v>0</v>
      </c>
      <c r="P43" s="99"/>
    </row>
    <row r="44" spans="2:18" x14ac:dyDescent="0.25">
      <c r="B44" s="6"/>
      <c r="C44" s="10"/>
      <c r="D44" s="9" t="s">
        <v>150</v>
      </c>
      <c r="E44" s="10"/>
      <c r="F44" s="10"/>
      <c r="G44" s="10"/>
      <c r="H44" s="10" t="s">
        <v>29</v>
      </c>
      <c r="I44" s="79"/>
      <c r="J44" s="79"/>
      <c r="K44" s="17"/>
      <c r="L44" s="10"/>
      <c r="M44" s="81"/>
      <c r="N44" s="10"/>
      <c r="O44" s="81"/>
      <c r="P44" s="101"/>
    </row>
    <row r="45" spans="2:18" x14ac:dyDescent="0.25">
      <c r="B45" s="6"/>
      <c r="C45" s="10"/>
      <c r="D45" s="67" t="str">
        <f>Basisgegevens!$D$25</f>
        <v>vrachtauto 6x6 12 m³</v>
      </c>
      <c r="E45" s="10"/>
      <c r="F45" s="10"/>
      <c r="G45" s="10"/>
      <c r="H45" s="102" t="s">
        <v>111</v>
      </c>
      <c r="I45" s="79">
        <f>12*2.25</f>
        <v>27</v>
      </c>
      <c r="K45" s="79">
        <f>K46/I45*2</f>
        <v>0</v>
      </c>
      <c r="L45" s="10"/>
      <c r="M45" s="81">
        <f>Basisgegevens!$M$25</f>
        <v>55</v>
      </c>
      <c r="N45" s="10"/>
      <c r="O45" s="81">
        <f>K45*M45</f>
        <v>0</v>
      </c>
      <c r="P45" s="101"/>
    </row>
    <row r="46" spans="2:18" x14ac:dyDescent="0.25">
      <c r="B46" s="6"/>
      <c r="C46" s="10"/>
      <c r="D46" s="67" t="str">
        <f>Basisgegevens!$D$94</f>
        <v>stortkosten betonpuin/steenachtigmateriaal</v>
      </c>
      <c r="E46" s="10"/>
      <c r="F46" s="10"/>
      <c r="G46" s="10"/>
      <c r="H46" s="10" t="s">
        <v>168</v>
      </c>
      <c r="I46" s="79">
        <v>1</v>
      </c>
      <c r="K46" s="79">
        <f>(K34/2.4*2.22)+(K34/45*3.5)</f>
        <v>0</v>
      </c>
      <c r="L46" s="10"/>
      <c r="M46" s="81">
        <f>Basisgegevens!$M$94</f>
        <v>5.75</v>
      </c>
      <c r="N46" s="10"/>
      <c r="O46" s="81">
        <f>K46*M46</f>
        <v>0</v>
      </c>
      <c r="P46" s="101"/>
    </row>
    <row r="47" spans="2:18" x14ac:dyDescent="0.25">
      <c r="B47" s="73"/>
      <c r="C47" s="83"/>
      <c r="D47" s="83" t="s">
        <v>22</v>
      </c>
      <c r="E47" s="83"/>
      <c r="F47" s="83"/>
      <c r="G47" s="83"/>
      <c r="H47" s="83" t="s">
        <v>29</v>
      </c>
      <c r="I47" s="80"/>
      <c r="J47" s="83"/>
      <c r="K47" s="80">
        <f>K34</f>
        <v>0</v>
      </c>
      <c r="L47" s="83"/>
      <c r="M47" s="103" t="e">
        <f>O47/K34</f>
        <v>#DIV/0!</v>
      </c>
      <c r="N47" s="83"/>
      <c r="O47" s="103">
        <f>SUM(O34:O46)</f>
        <v>0</v>
      </c>
      <c r="P47" s="104"/>
    </row>
    <row r="48" spans="2:18" ht="5.0999999999999996" customHeight="1" thickBot="1" x14ac:dyDescent="0.3">
      <c r="B48" s="12"/>
      <c r="C48" s="13"/>
      <c r="D48" s="13"/>
      <c r="E48" s="13"/>
      <c r="F48" s="13"/>
      <c r="G48" s="13"/>
      <c r="H48" s="13"/>
      <c r="I48" s="15"/>
      <c r="J48" s="13"/>
      <c r="K48" s="15"/>
      <c r="L48" s="13"/>
      <c r="M48" s="13"/>
      <c r="N48" s="13"/>
      <c r="O48" s="13"/>
      <c r="P48" s="14"/>
    </row>
    <row r="49" spans="2:18" ht="30" customHeight="1" thickBot="1" x14ac:dyDescent="0.3"/>
    <row r="50" spans="2:18" ht="5.0999999999999996" customHeight="1" x14ac:dyDescent="0.25">
      <c r="B50" s="3"/>
      <c r="C50" s="4"/>
      <c r="D50" s="4"/>
      <c r="E50" s="4"/>
      <c r="F50" s="4"/>
      <c r="G50" s="4"/>
      <c r="H50" s="55"/>
      <c r="I50" s="4"/>
      <c r="J50" s="4"/>
      <c r="K50" s="4"/>
      <c r="L50" s="4"/>
      <c r="M50" s="4"/>
      <c r="N50" s="4"/>
      <c r="O50" s="4"/>
      <c r="P50" s="5"/>
    </row>
    <row r="51" spans="2:18" x14ac:dyDescent="0.25">
      <c r="B51" s="34"/>
      <c r="C51" s="94"/>
      <c r="D51" s="36"/>
      <c r="E51" s="36"/>
      <c r="F51" s="36"/>
      <c r="G51" s="36"/>
      <c r="H51" s="36"/>
      <c r="I51" s="44"/>
      <c r="J51" s="36"/>
      <c r="K51" s="44"/>
      <c r="L51" s="36"/>
      <c r="M51" s="36"/>
      <c r="N51" s="36"/>
      <c r="O51" s="36"/>
      <c r="P51" s="37"/>
      <c r="R51" s="105" t="s">
        <v>137</v>
      </c>
    </row>
    <row r="52" spans="2:18" x14ac:dyDescent="0.25">
      <c r="B52" s="34"/>
      <c r="C52" s="35" t="s">
        <v>426</v>
      </c>
      <c r="D52" s="36"/>
      <c r="E52" s="36"/>
      <c r="F52" s="36"/>
      <c r="G52" s="36"/>
      <c r="H52"/>
      <c r="I52" s="44"/>
      <c r="K52" s="44"/>
      <c r="L52" s="36"/>
      <c r="M52" s="1"/>
      <c r="N52" s="1"/>
      <c r="O52" s="71" t="s">
        <v>62</v>
      </c>
      <c r="P52" s="37"/>
      <c r="R52" t="s">
        <v>138</v>
      </c>
    </row>
    <row r="53" spans="2:18" ht="15.75" thickBot="1" x14ac:dyDescent="0.3">
      <c r="B53" s="68"/>
      <c r="C53" s="48" t="s">
        <v>56</v>
      </c>
      <c r="D53" s="48" t="s">
        <v>55</v>
      </c>
      <c r="E53" s="50"/>
      <c r="F53" s="48"/>
      <c r="G53" s="48"/>
      <c r="H53" s="48" t="s">
        <v>107</v>
      </c>
      <c r="I53" s="78" t="s">
        <v>108</v>
      </c>
      <c r="J53" s="69"/>
      <c r="K53" s="82" t="s">
        <v>110</v>
      </c>
      <c r="L53" s="48"/>
      <c r="M53" s="48" t="s">
        <v>109</v>
      </c>
      <c r="N53" s="48"/>
      <c r="O53" s="48" t="s">
        <v>19</v>
      </c>
      <c r="P53" s="70"/>
      <c r="R53" t="s">
        <v>139</v>
      </c>
    </row>
    <row r="54" spans="2:18" x14ac:dyDescent="0.25">
      <c r="B54" s="84"/>
      <c r="C54" s="85"/>
      <c r="D54" s="86" t="s">
        <v>118</v>
      </c>
      <c r="E54" s="85"/>
      <c r="F54" s="85"/>
      <c r="G54" s="85"/>
      <c r="H54" s="86" t="s">
        <v>29</v>
      </c>
      <c r="I54" s="89"/>
      <c r="J54" s="9"/>
      <c r="K54" s="87">
        <f>SUM(Input!G67)</f>
        <v>0</v>
      </c>
      <c r="L54" s="86"/>
      <c r="M54" s="86"/>
      <c r="N54" s="86"/>
      <c r="O54" s="86"/>
      <c r="P54" s="99"/>
      <c r="R54" t="s">
        <v>140</v>
      </c>
    </row>
    <row r="55" spans="2:18" x14ac:dyDescent="0.25">
      <c r="B55" s="84"/>
      <c r="C55" s="85"/>
      <c r="D55" s="45" t="str">
        <f>Basisgegevens!$D$36</f>
        <v>hydraulische rupskraan 1 m³</v>
      </c>
      <c r="E55" s="85"/>
      <c r="F55" s="85"/>
      <c r="G55" s="85"/>
      <c r="H55" s="86" t="s">
        <v>111</v>
      </c>
      <c r="I55" s="87">
        <v>16</v>
      </c>
      <c r="J55" s="9"/>
      <c r="K55" s="87">
        <f>K54/I55</f>
        <v>0</v>
      </c>
      <c r="L55" s="86"/>
      <c r="M55" s="98">
        <f>Basisgegevens!$M$36</f>
        <v>70</v>
      </c>
      <c r="N55" s="86"/>
      <c r="O55" s="81">
        <f>K55*M55</f>
        <v>0</v>
      </c>
      <c r="P55" s="99"/>
      <c r="R55" t="s">
        <v>148</v>
      </c>
    </row>
    <row r="56" spans="2:18" x14ac:dyDescent="0.25">
      <c r="B56" s="84"/>
      <c r="C56" s="85"/>
      <c r="D56" s="45" t="str">
        <f>Basisgegevens!$D$13</f>
        <v>grondwerker</v>
      </c>
      <c r="E56" s="85"/>
      <c r="F56" s="85"/>
      <c r="G56" s="85"/>
      <c r="H56" s="100" t="s">
        <v>111</v>
      </c>
      <c r="I56" s="90">
        <v>20</v>
      </c>
      <c r="J56" s="9"/>
      <c r="K56" s="87">
        <f>K54/I56</f>
        <v>0</v>
      </c>
      <c r="L56" s="86"/>
      <c r="M56" s="98">
        <f>Basisgegevens!$M$13</f>
        <v>35</v>
      </c>
      <c r="N56" s="86"/>
      <c r="O56" s="81">
        <f>K56*M56</f>
        <v>0</v>
      </c>
      <c r="P56" s="99"/>
      <c r="R56" t="s">
        <v>141</v>
      </c>
    </row>
    <row r="57" spans="2:18" x14ac:dyDescent="0.25">
      <c r="B57" s="84"/>
      <c r="C57" s="85"/>
      <c r="D57" s="86" t="s">
        <v>32</v>
      </c>
      <c r="E57" s="85"/>
      <c r="F57" s="85"/>
      <c r="G57" s="85"/>
      <c r="H57" s="100" t="s">
        <v>29</v>
      </c>
      <c r="I57" s="17"/>
      <c r="J57" s="9"/>
      <c r="K57" s="87"/>
      <c r="L57" s="86"/>
      <c r="M57" s="86"/>
      <c r="N57" s="86"/>
      <c r="O57" s="86"/>
      <c r="P57" s="99"/>
    </row>
    <row r="58" spans="2:18" x14ac:dyDescent="0.25">
      <c r="B58" s="84"/>
      <c r="C58" s="85"/>
      <c r="D58" s="45" t="str">
        <f>Basisgegevens!$D$67</f>
        <v>pvcbuis ø250 mm</v>
      </c>
      <c r="E58" s="85"/>
      <c r="F58" s="85"/>
      <c r="G58" s="85"/>
      <c r="H58" s="100" t="s">
        <v>29</v>
      </c>
      <c r="I58" s="90">
        <v>1</v>
      </c>
      <c r="J58" s="9"/>
      <c r="K58" s="87">
        <f>K54/I58</f>
        <v>0</v>
      </c>
      <c r="L58" s="86"/>
      <c r="M58" s="88">
        <f>Basisgegevens!$M$67</f>
        <v>20</v>
      </c>
      <c r="N58" s="86"/>
      <c r="O58" s="81">
        <f>K58*M58</f>
        <v>0</v>
      </c>
      <c r="P58" s="99"/>
    </row>
    <row r="59" spans="2:18" x14ac:dyDescent="0.25">
      <c r="B59" s="84"/>
      <c r="C59" s="85"/>
      <c r="D59" s="86" t="s">
        <v>133</v>
      </c>
      <c r="E59" s="85"/>
      <c r="F59" s="85"/>
      <c r="G59" s="85"/>
      <c r="H59" s="100" t="s">
        <v>60</v>
      </c>
      <c r="I59" s="90"/>
      <c r="J59" s="9"/>
      <c r="K59" s="87"/>
      <c r="L59" s="86"/>
      <c r="M59" s="88"/>
      <c r="N59" s="86"/>
      <c r="O59" s="81"/>
      <c r="P59" s="99"/>
    </row>
    <row r="60" spans="2:18" x14ac:dyDescent="0.25">
      <c r="B60" s="84"/>
      <c r="C60" s="85"/>
      <c r="D60" s="45" t="str">
        <f>Basisgegevens!$D$72</f>
        <v>inspectieput prefabbeton 800x800</v>
      </c>
      <c r="E60" s="85"/>
      <c r="F60" s="85"/>
      <c r="G60" s="85"/>
      <c r="H60" s="100" t="s">
        <v>60</v>
      </c>
      <c r="I60" s="97">
        <v>1</v>
      </c>
      <c r="J60" s="9"/>
      <c r="K60" s="96">
        <f>IF(K54=0,0,CEILING(K54/45+1,1))</f>
        <v>0</v>
      </c>
      <c r="L60" s="86"/>
      <c r="M60" s="88">
        <f>Basisgegevens!$M$72</f>
        <v>1000</v>
      </c>
      <c r="N60" s="86"/>
      <c r="O60" s="81">
        <f>K60*M60</f>
        <v>0</v>
      </c>
      <c r="P60" s="99"/>
    </row>
    <row r="61" spans="2:18" x14ac:dyDescent="0.25">
      <c r="B61" s="84"/>
      <c r="C61" s="85"/>
      <c r="D61" s="86" t="s">
        <v>134</v>
      </c>
      <c r="E61" s="85"/>
      <c r="F61" s="85"/>
      <c r="G61" s="85"/>
      <c r="H61" s="100" t="s">
        <v>60</v>
      </c>
      <c r="I61" s="17"/>
      <c r="J61" s="17"/>
      <c r="K61" s="17"/>
      <c r="L61" s="86"/>
      <c r="M61" s="88"/>
      <c r="N61" s="86"/>
      <c r="O61" s="81"/>
      <c r="P61" s="99"/>
    </row>
    <row r="62" spans="2:18" x14ac:dyDescent="0.25">
      <c r="B62" s="84"/>
      <c r="C62" s="85"/>
      <c r="D62" s="45" t="str">
        <f>Basisgegevens!$D$13</f>
        <v>grondwerker</v>
      </c>
      <c r="E62" s="85"/>
      <c r="F62" s="85"/>
      <c r="G62" s="85"/>
      <c r="H62" s="100" t="s">
        <v>111</v>
      </c>
      <c r="I62" s="96">
        <v>3</v>
      </c>
      <c r="J62" s="17"/>
      <c r="K62" s="96">
        <f>K63/I62</f>
        <v>0</v>
      </c>
      <c r="L62" s="86"/>
      <c r="M62" s="88">
        <f>Basisgegevens!$M$13</f>
        <v>35</v>
      </c>
      <c r="N62" s="86"/>
      <c r="O62" s="81">
        <f>K62*M62</f>
        <v>0</v>
      </c>
      <c r="P62" s="99"/>
    </row>
    <row r="63" spans="2:18" x14ac:dyDescent="0.25">
      <c r="B63" s="84"/>
      <c r="C63" s="85"/>
      <c r="D63" s="45" t="str">
        <f>Basisgegevens!$D$77</f>
        <v>knevelinlaat</v>
      </c>
      <c r="E63" s="85"/>
      <c r="F63" s="85"/>
      <c r="G63" s="85"/>
      <c r="H63" s="100" t="s">
        <v>60</v>
      </c>
      <c r="I63" s="90">
        <v>1</v>
      </c>
      <c r="J63" s="9"/>
      <c r="K63" s="96">
        <f>CEILING(K54/5,1)</f>
        <v>0</v>
      </c>
      <c r="L63" s="86"/>
      <c r="M63" s="88">
        <f>Basisgegevens!$M$77</f>
        <v>18</v>
      </c>
      <c r="N63" s="86"/>
      <c r="O63" s="81">
        <f>K63*M63</f>
        <v>0</v>
      </c>
      <c r="P63" s="99"/>
    </row>
    <row r="64" spans="2:18" x14ac:dyDescent="0.25">
      <c r="B64" s="84"/>
      <c r="C64" s="85"/>
      <c r="D64" s="45" t="str">
        <f>Basisgegevens!$D$66</f>
        <v>pvcbuis ø125 mm</v>
      </c>
      <c r="E64" s="85"/>
      <c r="F64" s="85"/>
      <c r="G64" s="85"/>
      <c r="H64" s="100" t="s">
        <v>135</v>
      </c>
      <c r="I64" s="90">
        <v>1</v>
      </c>
      <c r="J64" s="9"/>
      <c r="K64" s="96">
        <f>CEILING(K54/5,1)</f>
        <v>0</v>
      </c>
      <c r="L64" s="86"/>
      <c r="M64" s="88">
        <f>Basisgegevens!$M$66</f>
        <v>12</v>
      </c>
      <c r="N64" s="86"/>
      <c r="O64" s="81">
        <f>K64*M64</f>
        <v>0</v>
      </c>
      <c r="P64" s="99"/>
    </row>
    <row r="65" spans="2:18" x14ac:dyDescent="0.25">
      <c r="B65" s="84"/>
      <c r="C65" s="85"/>
      <c r="D65" s="45" t="str">
        <f>Basisgegevens!$D$78</f>
        <v>flexibel zetting T-stuk stroom</v>
      </c>
      <c r="E65" s="85"/>
      <c r="F65" s="85"/>
      <c r="G65" s="85"/>
      <c r="H65" s="100" t="s">
        <v>60</v>
      </c>
      <c r="I65" s="90">
        <v>1</v>
      </c>
      <c r="J65" s="9"/>
      <c r="K65" s="96">
        <f>CEILING(K54/5,1)</f>
        <v>0</v>
      </c>
      <c r="L65" s="86"/>
      <c r="M65" s="88">
        <f>Basisgegevens!$M$78</f>
        <v>25</v>
      </c>
      <c r="N65" s="86"/>
      <c r="O65" s="81">
        <f>K65*M65</f>
        <v>0</v>
      </c>
      <c r="P65" s="99"/>
    </row>
    <row r="66" spans="2:18" x14ac:dyDescent="0.25">
      <c r="B66" s="84"/>
      <c r="C66" s="85"/>
      <c r="D66" s="86" t="s">
        <v>36</v>
      </c>
      <c r="E66" s="85"/>
      <c r="F66" s="85"/>
      <c r="G66" s="85"/>
      <c r="H66" s="100" t="s">
        <v>29</v>
      </c>
      <c r="I66" s="90"/>
      <c r="J66" s="9"/>
      <c r="K66" s="87"/>
      <c r="L66" s="86"/>
      <c r="M66" s="86"/>
      <c r="N66" s="86"/>
      <c r="O66" s="86"/>
      <c r="P66" s="99"/>
    </row>
    <row r="67" spans="2:18" x14ac:dyDescent="0.25">
      <c r="B67" s="84"/>
      <c r="C67" s="85"/>
      <c r="D67" s="45" t="str">
        <f>Basisgegevens!$D$36</f>
        <v>hydraulische rupskraan 1 m³</v>
      </c>
      <c r="E67" s="85"/>
      <c r="F67" s="85"/>
      <c r="G67" s="85"/>
      <c r="H67" s="100" t="s">
        <v>111</v>
      </c>
      <c r="I67" s="90">
        <v>16</v>
      </c>
      <c r="J67" s="9"/>
      <c r="K67" s="87">
        <f>K54/I67</f>
        <v>0</v>
      </c>
      <c r="L67" s="86"/>
      <c r="M67" s="98">
        <f>Basisgegevens!$M$36</f>
        <v>70</v>
      </c>
      <c r="N67" s="86"/>
      <c r="O67" s="81">
        <f>K67*M67</f>
        <v>0</v>
      </c>
      <c r="P67" s="99"/>
    </row>
    <row r="68" spans="2:18" x14ac:dyDescent="0.25">
      <c r="B68" s="84"/>
      <c r="C68" s="85"/>
      <c r="D68" s="45" t="str">
        <f>Basisgegevens!$D$13</f>
        <v>grondwerker</v>
      </c>
      <c r="E68" s="85"/>
      <c r="F68" s="85"/>
      <c r="G68" s="85"/>
      <c r="H68" s="100" t="s">
        <v>111</v>
      </c>
      <c r="I68" s="90">
        <v>20</v>
      </c>
      <c r="J68" s="9"/>
      <c r="K68" s="87">
        <f>K54/I68</f>
        <v>0</v>
      </c>
      <c r="L68" s="86"/>
      <c r="M68" s="98">
        <f>Basisgegevens!$M$13</f>
        <v>35</v>
      </c>
      <c r="N68" s="86"/>
      <c r="O68" s="81">
        <f>K68*M68</f>
        <v>0</v>
      </c>
      <c r="P68" s="99"/>
    </row>
    <row r="69" spans="2:18" x14ac:dyDescent="0.25">
      <c r="B69" s="84"/>
      <c r="C69" s="85"/>
      <c r="D69" s="45" t="str">
        <f>Basisgegevens!$D$44</f>
        <v>explosiestamper, excl. bediening</v>
      </c>
      <c r="E69" s="85"/>
      <c r="F69" s="85"/>
      <c r="G69" s="85"/>
      <c r="H69" s="100" t="s">
        <v>122</v>
      </c>
      <c r="I69" s="90">
        <f>I67*8</f>
        <v>128</v>
      </c>
      <c r="J69" s="9"/>
      <c r="K69" s="87">
        <f>K54/I69</f>
        <v>0</v>
      </c>
      <c r="L69" s="86"/>
      <c r="M69" s="98">
        <f>Basisgegevens!$M$44</f>
        <v>10</v>
      </c>
      <c r="N69" s="86"/>
      <c r="O69" s="81">
        <f>K69*M69</f>
        <v>0</v>
      </c>
      <c r="P69" s="99"/>
    </row>
    <row r="70" spans="2:18" x14ac:dyDescent="0.25">
      <c r="B70" s="84"/>
      <c r="C70" s="85"/>
      <c r="D70" s="86" t="s">
        <v>121</v>
      </c>
      <c r="E70" s="85"/>
      <c r="F70" s="85"/>
      <c r="G70" s="85"/>
      <c r="H70" s="100" t="s">
        <v>29</v>
      </c>
      <c r="I70" s="90"/>
      <c r="J70" s="9"/>
      <c r="K70" s="87"/>
      <c r="L70" s="86"/>
      <c r="M70" s="86"/>
      <c r="N70" s="86"/>
      <c r="O70" s="86"/>
      <c r="P70" s="99"/>
    </row>
    <row r="71" spans="2:18" x14ac:dyDescent="0.25">
      <c r="B71" s="84"/>
      <c r="C71" s="85"/>
      <c r="D71" s="45" t="str">
        <f>Basisgegevens!$D$84</f>
        <v>zand voor ophoging</v>
      </c>
      <c r="E71" s="85"/>
      <c r="F71" s="85"/>
      <c r="G71" s="85"/>
      <c r="H71" s="100" t="s">
        <v>168</v>
      </c>
      <c r="I71" s="90">
        <v>1</v>
      </c>
      <c r="J71" s="9"/>
      <c r="K71" s="87">
        <f>K54*0.1*2.5/1.7</f>
        <v>0</v>
      </c>
      <c r="L71" s="86"/>
      <c r="M71" s="98">
        <f>Basisgegevens!$M$84</f>
        <v>5.5</v>
      </c>
      <c r="N71" s="86"/>
      <c r="O71" s="81">
        <f>K71*M71</f>
        <v>0</v>
      </c>
      <c r="P71" s="99"/>
    </row>
    <row r="72" spans="2:18" x14ac:dyDescent="0.25">
      <c r="B72" s="6"/>
      <c r="C72" s="10"/>
      <c r="D72" s="9" t="s">
        <v>37</v>
      </c>
      <c r="E72" s="10"/>
      <c r="F72" s="10"/>
      <c r="G72" s="10"/>
      <c r="H72" s="10" t="s">
        <v>29</v>
      </c>
      <c r="I72" s="79"/>
      <c r="J72" s="79"/>
      <c r="K72" s="17"/>
      <c r="L72" s="10"/>
      <c r="M72" s="81"/>
      <c r="N72" s="10"/>
      <c r="O72" s="81"/>
      <c r="P72" s="101"/>
    </row>
    <row r="73" spans="2:18" x14ac:dyDescent="0.25">
      <c r="B73" s="6"/>
      <c r="C73" s="10"/>
      <c r="D73" s="67" t="str">
        <f>Basisgegevens!$D$25</f>
        <v>vrachtauto 6x6 12 m³</v>
      </c>
      <c r="E73" s="10"/>
      <c r="F73" s="10"/>
      <c r="G73" s="10"/>
      <c r="H73" s="102" t="s">
        <v>111</v>
      </c>
      <c r="I73" s="79">
        <f>12*1.7</f>
        <v>20.399999999999999</v>
      </c>
      <c r="J73" s="79"/>
      <c r="K73" s="79">
        <f>K71/I73</f>
        <v>0</v>
      </c>
      <c r="L73" s="10"/>
      <c r="M73" s="81">
        <f>Basisgegevens!$M$25</f>
        <v>55</v>
      </c>
      <c r="N73" s="10"/>
      <c r="O73" s="81">
        <f>K73*M73</f>
        <v>0</v>
      </c>
      <c r="P73" s="101"/>
    </row>
    <row r="74" spans="2:18" x14ac:dyDescent="0.25">
      <c r="B74" s="6"/>
      <c r="C74" s="10"/>
      <c r="D74" s="67" t="str">
        <f>Basisgegevens!$D$91</f>
        <v>stortkosten schone grond</v>
      </c>
      <c r="E74" s="10"/>
      <c r="F74" s="10"/>
      <c r="G74" s="10"/>
      <c r="H74" s="10" t="s">
        <v>168</v>
      </c>
      <c r="I74" s="79">
        <v>1</v>
      </c>
      <c r="J74" s="79"/>
      <c r="K74" s="79">
        <f>K71</f>
        <v>0</v>
      </c>
      <c r="L74" s="10"/>
      <c r="M74" s="81">
        <f>Basisgegevens!$M$91</f>
        <v>3.75</v>
      </c>
      <c r="N74" s="10"/>
      <c r="O74" s="81">
        <f>K74*M74</f>
        <v>0</v>
      </c>
      <c r="P74" s="101"/>
    </row>
    <row r="75" spans="2:18" x14ac:dyDescent="0.25">
      <c r="B75" s="73"/>
      <c r="C75" s="83"/>
      <c r="D75" s="83" t="s">
        <v>22</v>
      </c>
      <c r="E75" s="83"/>
      <c r="F75" s="83"/>
      <c r="G75" s="83"/>
      <c r="H75" s="83" t="s">
        <v>29</v>
      </c>
      <c r="I75" s="80"/>
      <c r="J75" s="83"/>
      <c r="K75" s="80">
        <f>K54</f>
        <v>0</v>
      </c>
      <c r="L75" s="83"/>
      <c r="M75" s="103" t="e">
        <f>O75/K54</f>
        <v>#DIV/0!</v>
      </c>
      <c r="N75" s="83"/>
      <c r="O75" s="103">
        <f>SUM(O55:O74)</f>
        <v>0</v>
      </c>
      <c r="P75" s="104"/>
    </row>
    <row r="76" spans="2:18" ht="5.0999999999999996" customHeight="1" thickBot="1" x14ac:dyDescent="0.3">
      <c r="B76" s="12"/>
      <c r="C76" s="13"/>
      <c r="D76" s="13"/>
      <c r="E76" s="13"/>
      <c r="F76" s="13"/>
      <c r="G76" s="13"/>
      <c r="H76" s="13"/>
      <c r="I76" s="15"/>
      <c r="J76" s="13"/>
      <c r="K76" s="15"/>
      <c r="L76" s="13"/>
      <c r="M76" s="13"/>
      <c r="N76" s="13"/>
      <c r="O76" s="13"/>
      <c r="P76" s="14"/>
    </row>
    <row r="77" spans="2:18" ht="30" customHeight="1" thickBot="1" x14ac:dyDescent="0.3">
      <c r="B77" s="93"/>
      <c r="C77" s="4"/>
      <c r="D77" s="4"/>
      <c r="E77" s="4"/>
      <c r="F77" s="4"/>
      <c r="G77" s="4"/>
      <c r="H77" s="55"/>
      <c r="I77" s="4"/>
    </row>
    <row r="78" spans="2:18" ht="5.0999999999999996" customHeight="1" x14ac:dyDescent="0.25">
      <c r="B78" s="3"/>
      <c r="C78" s="4"/>
      <c r="D78" s="4"/>
      <c r="E78" s="4"/>
      <c r="F78" s="4"/>
      <c r="G78" s="4"/>
      <c r="H78" s="55"/>
      <c r="I78" s="4"/>
      <c r="J78" s="4"/>
      <c r="K78" s="4"/>
      <c r="L78" s="4"/>
      <c r="M78" s="4"/>
      <c r="N78" s="4"/>
      <c r="O78" s="4"/>
      <c r="P78" s="5"/>
    </row>
    <row r="79" spans="2:18" x14ac:dyDescent="0.25">
      <c r="B79" s="34"/>
      <c r="C79" s="94"/>
      <c r="D79" s="36"/>
      <c r="E79" s="36"/>
      <c r="F79" s="36"/>
      <c r="G79" s="36"/>
      <c r="H79" s="36"/>
      <c r="I79" s="44"/>
      <c r="J79" s="36"/>
      <c r="K79" s="44"/>
      <c r="L79" s="36"/>
      <c r="M79" s="36"/>
      <c r="N79" s="36"/>
      <c r="O79" s="36"/>
      <c r="P79" s="37"/>
      <c r="R79" s="105" t="s">
        <v>137</v>
      </c>
    </row>
    <row r="80" spans="2:18" x14ac:dyDescent="0.25">
      <c r="B80" s="34"/>
      <c r="C80" s="35" t="s">
        <v>427</v>
      </c>
      <c r="D80" s="36"/>
      <c r="E80" s="36"/>
      <c r="F80" s="36"/>
      <c r="G80" s="36"/>
      <c r="H80"/>
      <c r="I80" s="44"/>
      <c r="K80" s="44"/>
      <c r="L80" s="36"/>
      <c r="M80" s="1"/>
      <c r="N80" s="1"/>
      <c r="O80" s="71" t="s">
        <v>62</v>
      </c>
      <c r="P80" s="37"/>
      <c r="R80" t="s">
        <v>142</v>
      </c>
    </row>
    <row r="81" spans="2:18" ht="15.75" thickBot="1" x14ac:dyDescent="0.3">
      <c r="B81" s="68"/>
      <c r="C81" s="48" t="s">
        <v>56</v>
      </c>
      <c r="D81" s="48" t="s">
        <v>55</v>
      </c>
      <c r="E81" s="50"/>
      <c r="F81" s="48"/>
      <c r="G81" s="48"/>
      <c r="H81" s="48" t="s">
        <v>107</v>
      </c>
      <c r="I81" s="78" t="s">
        <v>108</v>
      </c>
      <c r="J81" s="69"/>
      <c r="K81" s="82" t="s">
        <v>110</v>
      </c>
      <c r="L81" s="48"/>
      <c r="M81" s="48" t="s">
        <v>109</v>
      </c>
      <c r="N81" s="48"/>
      <c r="O81" s="48" t="s">
        <v>19</v>
      </c>
      <c r="P81" s="70"/>
      <c r="R81" t="s">
        <v>428</v>
      </c>
    </row>
    <row r="82" spans="2:18" x14ac:dyDescent="0.25">
      <c r="B82" s="84"/>
      <c r="C82" s="85"/>
      <c r="D82" s="86" t="s">
        <v>118</v>
      </c>
      <c r="E82" s="85"/>
      <c r="F82" s="85"/>
      <c r="G82" s="85"/>
      <c r="H82" s="86" t="s">
        <v>29</v>
      </c>
      <c r="I82" s="89"/>
      <c r="J82" s="9"/>
      <c r="K82" s="87">
        <f>SUM(Input!I67)</f>
        <v>0</v>
      </c>
      <c r="L82" s="86"/>
      <c r="M82" s="86"/>
      <c r="N82" s="86"/>
      <c r="O82" s="86"/>
      <c r="P82" s="99"/>
      <c r="R82" t="s">
        <v>140</v>
      </c>
    </row>
    <row r="83" spans="2:18" x14ac:dyDescent="0.25">
      <c r="B83" s="84"/>
      <c r="C83" s="85"/>
      <c r="D83" s="45" t="str">
        <f>Basisgegevens!$D$36</f>
        <v>hydraulische rupskraan 1 m³</v>
      </c>
      <c r="E83" s="85"/>
      <c r="F83" s="85"/>
      <c r="G83" s="85"/>
      <c r="H83" s="86" t="s">
        <v>111</v>
      </c>
      <c r="I83" s="87">
        <v>10</v>
      </c>
      <c r="J83" s="9"/>
      <c r="K83" s="87">
        <f>K82/I83</f>
        <v>0</v>
      </c>
      <c r="L83" s="86"/>
      <c r="M83" s="98">
        <f>Basisgegevens!$M$36</f>
        <v>70</v>
      </c>
      <c r="N83" s="86"/>
      <c r="O83" s="81">
        <f>K83*M83</f>
        <v>0</v>
      </c>
      <c r="P83" s="99"/>
      <c r="R83" t="s">
        <v>148</v>
      </c>
    </row>
    <row r="84" spans="2:18" x14ac:dyDescent="0.25">
      <c r="B84" s="84"/>
      <c r="C84" s="85"/>
      <c r="D84" s="45" t="str">
        <f>Basisgegevens!$D$13</f>
        <v>grondwerker</v>
      </c>
      <c r="E84" s="85"/>
      <c r="F84" s="85"/>
      <c r="G84" s="85"/>
      <c r="H84" s="100" t="s">
        <v>111</v>
      </c>
      <c r="I84" s="90">
        <v>12</v>
      </c>
      <c r="J84" s="9"/>
      <c r="K84" s="87">
        <f>K82/I84</f>
        <v>0</v>
      </c>
      <c r="L84" s="86"/>
      <c r="M84" s="98">
        <f>Basisgegevens!$M$13</f>
        <v>35</v>
      </c>
      <c r="N84" s="86"/>
      <c r="O84" s="81">
        <f>K84*M84</f>
        <v>0</v>
      </c>
      <c r="P84" s="99"/>
      <c r="R84" t="s">
        <v>141</v>
      </c>
    </row>
    <row r="85" spans="2:18" x14ac:dyDescent="0.25">
      <c r="B85" s="84"/>
      <c r="C85" s="85"/>
      <c r="D85" s="86" t="s">
        <v>32</v>
      </c>
      <c r="E85" s="85"/>
      <c r="F85" s="85"/>
      <c r="G85" s="85"/>
      <c r="H85" s="100" t="s">
        <v>29</v>
      </c>
      <c r="I85" s="17"/>
      <c r="J85" s="9"/>
      <c r="K85" s="87"/>
      <c r="L85" s="86"/>
      <c r="M85" s="86"/>
      <c r="N85" s="86"/>
      <c r="O85" s="86"/>
      <c r="P85" s="99"/>
    </row>
    <row r="86" spans="2:18" x14ac:dyDescent="0.25">
      <c r="B86" s="84"/>
      <c r="C86" s="85"/>
      <c r="D86" s="45" t="str">
        <f>Basisgegevens!$D$68</f>
        <v>betonbuis ø400 mm</v>
      </c>
      <c r="E86" s="85"/>
      <c r="F86" s="85"/>
      <c r="G86" s="85"/>
      <c r="H86" s="100" t="s">
        <v>29</v>
      </c>
      <c r="I86" s="90">
        <v>1</v>
      </c>
      <c r="J86" s="9"/>
      <c r="K86" s="87">
        <f>K82/I86</f>
        <v>0</v>
      </c>
      <c r="L86" s="86"/>
      <c r="M86" s="88">
        <f>Basisgegevens!$M$68</f>
        <v>35</v>
      </c>
      <c r="N86" s="86"/>
      <c r="O86" s="81">
        <f>K86*M86</f>
        <v>0</v>
      </c>
      <c r="P86" s="99"/>
    </row>
    <row r="87" spans="2:18" x14ac:dyDescent="0.25">
      <c r="B87" s="84"/>
      <c r="C87" s="85"/>
      <c r="D87" s="86" t="s">
        <v>133</v>
      </c>
      <c r="E87" s="85"/>
      <c r="F87" s="85"/>
      <c r="G87" s="85"/>
      <c r="H87" s="100" t="s">
        <v>60</v>
      </c>
      <c r="I87" s="90"/>
      <c r="J87" s="9"/>
      <c r="K87" s="87"/>
      <c r="L87" s="86"/>
      <c r="M87" s="88"/>
      <c r="N87" s="86"/>
      <c r="O87" s="81"/>
      <c r="P87" s="99"/>
    </row>
    <row r="88" spans="2:18" x14ac:dyDescent="0.25">
      <c r="B88" s="84"/>
      <c r="C88" s="85"/>
      <c r="D88" s="45" t="str">
        <f>Basisgegevens!$D$72</f>
        <v>inspectieput prefabbeton 800x800</v>
      </c>
      <c r="E88" s="85"/>
      <c r="F88" s="85"/>
      <c r="G88" s="85"/>
      <c r="H88" s="100" t="s">
        <v>60</v>
      </c>
      <c r="I88" s="97">
        <v>1</v>
      </c>
      <c r="J88" s="9"/>
      <c r="K88" s="96">
        <f>IF(K82=0,0,CEILING(K82/45+1,1))</f>
        <v>0</v>
      </c>
      <c r="L88" s="86"/>
      <c r="M88" s="88">
        <f>Basisgegevens!$M$72</f>
        <v>1000</v>
      </c>
      <c r="N88" s="86"/>
      <c r="O88" s="81">
        <f>K88*M88</f>
        <v>0</v>
      </c>
      <c r="P88" s="99"/>
    </row>
    <row r="89" spans="2:18" x14ac:dyDescent="0.25">
      <c r="B89" s="84"/>
      <c r="C89" s="85"/>
      <c r="D89" s="86" t="s">
        <v>134</v>
      </c>
      <c r="E89" s="85"/>
      <c r="F89" s="85"/>
      <c r="G89" s="85"/>
      <c r="H89" s="100" t="s">
        <v>60</v>
      </c>
      <c r="I89" s="17"/>
      <c r="J89" s="17"/>
      <c r="K89" s="17"/>
      <c r="L89" s="86"/>
      <c r="M89" s="88"/>
      <c r="N89" s="86"/>
      <c r="O89" s="81"/>
      <c r="P89" s="99"/>
    </row>
    <row r="90" spans="2:18" x14ac:dyDescent="0.25">
      <c r="B90" s="84"/>
      <c r="C90" s="85"/>
      <c r="D90" s="45" t="str">
        <f>Basisgegevens!$D$13</f>
        <v>grondwerker</v>
      </c>
      <c r="E90" s="85"/>
      <c r="F90" s="85"/>
      <c r="G90" s="85"/>
      <c r="H90" s="100" t="s">
        <v>111</v>
      </c>
      <c r="I90" s="96">
        <v>3</v>
      </c>
      <c r="J90" s="17"/>
      <c r="K90" s="96">
        <f>K91/I90</f>
        <v>0</v>
      </c>
      <c r="L90" s="86"/>
      <c r="M90" s="88">
        <f>Basisgegevens!$M$13</f>
        <v>35</v>
      </c>
      <c r="N90" s="86"/>
      <c r="O90" s="81">
        <f>K90*M90</f>
        <v>0</v>
      </c>
      <c r="P90" s="99"/>
    </row>
    <row r="91" spans="2:18" x14ac:dyDescent="0.25">
      <c r="B91" s="84"/>
      <c r="C91" s="85"/>
      <c r="D91" s="45" t="str">
        <f>Basisgegevens!$D$77</f>
        <v>knevelinlaat</v>
      </c>
      <c r="E91" s="85"/>
      <c r="F91" s="85"/>
      <c r="G91" s="85"/>
      <c r="H91" s="100" t="s">
        <v>60</v>
      </c>
      <c r="I91" s="90">
        <v>1</v>
      </c>
      <c r="J91" s="9"/>
      <c r="K91" s="96">
        <f>CEILING(K82/5,1)</f>
        <v>0</v>
      </c>
      <c r="L91" s="86"/>
      <c r="M91" s="88">
        <f>Basisgegevens!$M$77</f>
        <v>18</v>
      </c>
      <c r="N91" s="86"/>
      <c r="O91" s="81">
        <f>K91*M91</f>
        <v>0</v>
      </c>
      <c r="P91" s="99"/>
    </row>
    <row r="92" spans="2:18" x14ac:dyDescent="0.25">
      <c r="B92" s="84"/>
      <c r="C92" s="85"/>
      <c r="D92" s="45" t="str">
        <f>Basisgegevens!$D$66</f>
        <v>pvcbuis ø125 mm</v>
      </c>
      <c r="E92" s="85"/>
      <c r="F92" s="85"/>
      <c r="G92" s="85"/>
      <c r="H92" s="100" t="s">
        <v>135</v>
      </c>
      <c r="I92" s="90">
        <v>1</v>
      </c>
      <c r="J92" s="9"/>
      <c r="K92" s="96">
        <f>CEILING(K82/5,1)</f>
        <v>0</v>
      </c>
      <c r="L92" s="86"/>
      <c r="M92" s="88">
        <f>Basisgegevens!$M$66</f>
        <v>12</v>
      </c>
      <c r="N92" s="86"/>
      <c r="O92" s="81">
        <f>K92*M92</f>
        <v>0</v>
      </c>
      <c r="P92" s="99"/>
    </row>
    <row r="93" spans="2:18" x14ac:dyDescent="0.25">
      <c r="B93" s="84"/>
      <c r="C93" s="85"/>
      <c r="D93" s="45" t="str">
        <f>Basisgegevens!$D$78</f>
        <v>flexibel zetting T-stuk stroom</v>
      </c>
      <c r="E93" s="85"/>
      <c r="F93" s="85"/>
      <c r="G93" s="85"/>
      <c r="H93" s="100" t="s">
        <v>60</v>
      </c>
      <c r="I93" s="90">
        <v>1</v>
      </c>
      <c r="J93" s="9"/>
      <c r="K93" s="96">
        <f>CEILING(K82/5,1)</f>
        <v>0</v>
      </c>
      <c r="L93" s="86"/>
      <c r="M93" s="88">
        <f>Basisgegevens!$M$78</f>
        <v>25</v>
      </c>
      <c r="N93" s="86"/>
      <c r="O93" s="81">
        <f>K93*M93</f>
        <v>0</v>
      </c>
      <c r="P93" s="99"/>
    </row>
    <row r="94" spans="2:18" x14ac:dyDescent="0.25">
      <c r="B94" s="84"/>
      <c r="C94" s="85"/>
      <c r="D94" s="86" t="s">
        <v>36</v>
      </c>
      <c r="E94" s="85"/>
      <c r="F94" s="85"/>
      <c r="G94" s="85"/>
      <c r="H94" s="100" t="s">
        <v>29</v>
      </c>
      <c r="I94" s="90"/>
      <c r="J94" s="9"/>
      <c r="K94" s="87"/>
      <c r="L94" s="86"/>
      <c r="M94" s="86"/>
      <c r="N94" s="86"/>
      <c r="O94" s="86"/>
      <c r="P94" s="99"/>
    </row>
    <row r="95" spans="2:18" x14ac:dyDescent="0.25">
      <c r="B95" s="84"/>
      <c r="C95" s="85"/>
      <c r="D95" s="45" t="str">
        <f>Basisgegevens!$D$36</f>
        <v>hydraulische rupskraan 1 m³</v>
      </c>
      <c r="E95" s="85"/>
      <c r="F95" s="85"/>
      <c r="G95" s="85"/>
      <c r="H95" s="100" t="s">
        <v>111</v>
      </c>
      <c r="I95" s="90">
        <v>12</v>
      </c>
      <c r="J95" s="9"/>
      <c r="K95" s="87">
        <f>K82/I95</f>
        <v>0</v>
      </c>
      <c r="L95" s="86"/>
      <c r="M95" s="98">
        <f>Basisgegevens!$M$36</f>
        <v>70</v>
      </c>
      <c r="N95" s="86"/>
      <c r="O95" s="81">
        <f>K95*M95</f>
        <v>0</v>
      </c>
      <c r="P95" s="99"/>
    </row>
    <row r="96" spans="2:18" x14ac:dyDescent="0.25">
      <c r="B96" s="84"/>
      <c r="C96" s="85"/>
      <c r="D96" s="45" t="str">
        <f>Basisgegevens!$D$13</f>
        <v>grondwerker</v>
      </c>
      <c r="E96" s="85"/>
      <c r="F96" s="85"/>
      <c r="G96" s="85"/>
      <c r="H96" s="100" t="s">
        <v>111</v>
      </c>
      <c r="I96" s="90">
        <v>15</v>
      </c>
      <c r="J96" s="9"/>
      <c r="K96" s="87">
        <f>K82/I96</f>
        <v>0</v>
      </c>
      <c r="L96" s="86"/>
      <c r="M96" s="98">
        <f>Basisgegevens!$M$13</f>
        <v>35</v>
      </c>
      <c r="N96" s="86"/>
      <c r="O96" s="81">
        <f>K96*M96</f>
        <v>0</v>
      </c>
      <c r="P96" s="99"/>
    </row>
    <row r="97" spans="2:18" x14ac:dyDescent="0.25">
      <c r="B97" s="84"/>
      <c r="C97" s="85"/>
      <c r="D97" s="45" t="str">
        <f>Basisgegevens!$D$44</f>
        <v>explosiestamper, excl. bediening</v>
      </c>
      <c r="E97" s="85"/>
      <c r="F97" s="85"/>
      <c r="G97" s="85"/>
      <c r="H97" s="100" t="s">
        <v>122</v>
      </c>
      <c r="I97" s="90">
        <f>I95*8</f>
        <v>96</v>
      </c>
      <c r="J97" s="9"/>
      <c r="K97" s="87">
        <f>K82/I97</f>
        <v>0</v>
      </c>
      <c r="L97" s="86"/>
      <c r="M97" s="98">
        <f>Basisgegevens!$M$44</f>
        <v>10</v>
      </c>
      <c r="N97" s="86"/>
      <c r="O97" s="81">
        <f>K97*M97</f>
        <v>0</v>
      </c>
      <c r="P97" s="99"/>
    </row>
    <row r="98" spans="2:18" x14ac:dyDescent="0.25">
      <c r="B98" s="84"/>
      <c r="C98" s="85"/>
      <c r="D98" s="86" t="s">
        <v>121</v>
      </c>
      <c r="E98" s="85"/>
      <c r="F98" s="85"/>
      <c r="G98" s="85"/>
      <c r="H98" s="100" t="s">
        <v>29</v>
      </c>
      <c r="I98" s="90"/>
      <c r="J98" s="9"/>
      <c r="K98" s="87"/>
      <c r="L98" s="86"/>
      <c r="M98" s="86"/>
      <c r="N98" s="86"/>
      <c r="O98" s="86"/>
      <c r="P98" s="99"/>
    </row>
    <row r="99" spans="2:18" x14ac:dyDescent="0.25">
      <c r="B99" s="84"/>
      <c r="C99" s="85"/>
      <c r="D99" s="45" t="str">
        <f>Basisgegevens!$D$84</f>
        <v>zand voor ophoging</v>
      </c>
      <c r="E99" s="85"/>
      <c r="F99" s="85"/>
      <c r="G99" s="85"/>
      <c r="H99" s="100" t="s">
        <v>169</v>
      </c>
      <c r="I99" s="90">
        <v>1</v>
      </c>
      <c r="J99" s="9"/>
      <c r="K99" s="87">
        <f>K82*0.1*3/1.7</f>
        <v>0</v>
      </c>
      <c r="L99" s="86"/>
      <c r="M99" s="98">
        <f>Basisgegevens!$M$84</f>
        <v>5.5</v>
      </c>
      <c r="N99" s="86"/>
      <c r="O99" s="81">
        <f>K99*M99</f>
        <v>0</v>
      </c>
      <c r="P99" s="99"/>
    </row>
    <row r="100" spans="2:18" x14ac:dyDescent="0.25">
      <c r="B100" s="6"/>
      <c r="C100" s="10"/>
      <c r="D100" s="9" t="s">
        <v>37</v>
      </c>
      <c r="E100" s="10"/>
      <c r="F100" s="10"/>
      <c r="G100" s="10"/>
      <c r="H100" s="10" t="s">
        <v>29</v>
      </c>
      <c r="I100" s="79"/>
      <c r="J100" s="79"/>
      <c r="K100" s="17"/>
      <c r="L100" s="10"/>
      <c r="M100" s="81"/>
      <c r="N100" s="10"/>
      <c r="O100" s="81"/>
      <c r="P100" s="101"/>
    </row>
    <row r="101" spans="2:18" x14ac:dyDescent="0.25">
      <c r="B101" s="6"/>
      <c r="C101" s="10"/>
      <c r="D101" s="67" t="str">
        <f>Basisgegevens!$D$25</f>
        <v>vrachtauto 6x6 12 m³</v>
      </c>
      <c r="E101" s="10"/>
      <c r="F101" s="10"/>
      <c r="G101" s="10"/>
      <c r="H101" s="102" t="s">
        <v>111</v>
      </c>
      <c r="I101" s="79">
        <f>12*1.7</f>
        <v>20.399999999999999</v>
      </c>
      <c r="J101" s="79"/>
      <c r="K101" s="79">
        <f>K99/I101</f>
        <v>0</v>
      </c>
      <c r="L101" s="10"/>
      <c r="M101" s="81">
        <f>Basisgegevens!$M$25</f>
        <v>55</v>
      </c>
      <c r="N101" s="10"/>
      <c r="O101" s="81">
        <f>K101*M101</f>
        <v>0</v>
      </c>
      <c r="P101" s="101"/>
    </row>
    <row r="102" spans="2:18" x14ac:dyDescent="0.25">
      <c r="B102" s="6"/>
      <c r="C102" s="10"/>
      <c r="D102" s="67" t="str">
        <f>Basisgegevens!$D$91</f>
        <v>stortkosten schone grond</v>
      </c>
      <c r="E102" s="10"/>
      <c r="F102" s="10"/>
      <c r="G102" s="10"/>
      <c r="H102" s="10" t="s">
        <v>54</v>
      </c>
      <c r="I102" s="79">
        <v>1</v>
      </c>
      <c r="J102" s="79"/>
      <c r="K102" s="79">
        <f>K99</f>
        <v>0</v>
      </c>
      <c r="L102" s="10"/>
      <c r="M102" s="81">
        <f>Basisgegevens!$M$91</f>
        <v>3.75</v>
      </c>
      <c r="N102" s="10"/>
      <c r="O102" s="81">
        <f>K102*M102</f>
        <v>0</v>
      </c>
      <c r="P102" s="101"/>
    </row>
    <row r="103" spans="2:18" x14ac:dyDescent="0.25">
      <c r="B103" s="73"/>
      <c r="C103" s="83"/>
      <c r="D103" s="83" t="s">
        <v>22</v>
      </c>
      <c r="E103" s="83"/>
      <c r="F103" s="83"/>
      <c r="G103" s="83"/>
      <c r="H103" s="83" t="s">
        <v>29</v>
      </c>
      <c r="I103" s="80"/>
      <c r="J103" s="83"/>
      <c r="K103" s="80">
        <f>K82</f>
        <v>0</v>
      </c>
      <c r="L103" s="83"/>
      <c r="M103" s="103" t="e">
        <f>O103/K82</f>
        <v>#DIV/0!</v>
      </c>
      <c r="N103" s="83"/>
      <c r="O103" s="103">
        <f>SUM(O83:O102)</f>
        <v>0</v>
      </c>
      <c r="P103" s="104"/>
    </row>
    <row r="104" spans="2:18" ht="5.0999999999999996" customHeight="1" thickBot="1" x14ac:dyDescent="0.3">
      <c r="B104" s="12"/>
      <c r="C104" s="13"/>
      <c r="D104" s="13"/>
      <c r="E104" s="13"/>
      <c r="F104" s="13"/>
      <c r="G104" s="13"/>
      <c r="H104" s="13"/>
      <c r="I104" s="15"/>
      <c r="J104" s="13"/>
      <c r="K104" s="15"/>
      <c r="L104" s="13"/>
      <c r="M104" s="13"/>
      <c r="N104" s="13"/>
      <c r="O104" s="13"/>
      <c r="P104" s="14"/>
    </row>
    <row r="105" spans="2:18" ht="30" customHeight="1" thickBot="1" x14ac:dyDescent="0.3"/>
    <row r="106" spans="2:18" ht="5.0999999999999996" customHeight="1" x14ac:dyDescent="0.25">
      <c r="B106" s="3"/>
      <c r="C106" s="4"/>
      <c r="D106" s="4"/>
      <c r="E106" s="4"/>
      <c r="F106" s="4"/>
      <c r="G106" s="4"/>
      <c r="H106" s="55"/>
      <c r="I106" s="4"/>
      <c r="J106" s="4"/>
      <c r="K106" s="4"/>
      <c r="L106" s="4"/>
      <c r="M106" s="4"/>
      <c r="N106" s="4"/>
      <c r="O106" s="4"/>
      <c r="P106" s="5"/>
    </row>
    <row r="107" spans="2:18" x14ac:dyDescent="0.25">
      <c r="B107" s="34"/>
      <c r="C107" s="94"/>
      <c r="D107" s="36"/>
      <c r="E107" s="36"/>
      <c r="F107" s="36"/>
      <c r="G107" s="36"/>
      <c r="H107" s="36"/>
      <c r="I107" s="44"/>
      <c r="J107" s="36"/>
      <c r="K107" s="44"/>
      <c r="L107" s="36"/>
      <c r="M107" s="36"/>
      <c r="N107" s="36"/>
      <c r="O107" s="36"/>
      <c r="P107" s="37"/>
      <c r="R107" s="105" t="s">
        <v>137</v>
      </c>
    </row>
    <row r="108" spans="2:18" x14ac:dyDescent="0.25">
      <c r="B108" s="34"/>
      <c r="C108" s="35" t="s">
        <v>433</v>
      </c>
      <c r="D108" s="36"/>
      <c r="E108" s="36"/>
      <c r="F108" s="36"/>
      <c r="G108" s="36"/>
      <c r="H108"/>
      <c r="I108" s="44"/>
      <c r="K108" s="44"/>
      <c r="L108" s="36"/>
      <c r="M108" s="1"/>
      <c r="N108" s="1"/>
      <c r="O108" s="71" t="s">
        <v>62</v>
      </c>
      <c r="P108" s="37"/>
      <c r="R108" t="s">
        <v>143</v>
      </c>
    </row>
    <row r="109" spans="2:18" ht="15.75" thickBot="1" x14ac:dyDescent="0.3">
      <c r="B109" s="68"/>
      <c r="C109" s="48" t="s">
        <v>56</v>
      </c>
      <c r="D109" s="48" t="s">
        <v>55</v>
      </c>
      <c r="E109" s="50"/>
      <c r="F109" s="48"/>
      <c r="G109" s="48"/>
      <c r="H109" s="48" t="s">
        <v>107</v>
      </c>
      <c r="I109" s="78" t="s">
        <v>108</v>
      </c>
      <c r="J109" s="69"/>
      <c r="K109" s="82" t="s">
        <v>110</v>
      </c>
      <c r="L109" s="48"/>
      <c r="M109" s="48" t="s">
        <v>109</v>
      </c>
      <c r="N109" s="48"/>
      <c r="O109" s="48" t="s">
        <v>19</v>
      </c>
      <c r="P109" s="70"/>
      <c r="R109" t="s">
        <v>429</v>
      </c>
    </row>
    <row r="110" spans="2:18" x14ac:dyDescent="0.25">
      <c r="B110" s="84"/>
      <c r="C110" s="85"/>
      <c r="D110" s="86" t="s">
        <v>118</v>
      </c>
      <c r="E110" s="85"/>
      <c r="F110" s="85"/>
      <c r="G110" s="85"/>
      <c r="H110" s="86" t="s">
        <v>29</v>
      </c>
      <c r="I110" s="89"/>
      <c r="J110" s="9"/>
      <c r="K110" s="87">
        <f>SUM(Input!K67)</f>
        <v>0</v>
      </c>
      <c r="L110" s="86"/>
      <c r="M110" s="86"/>
      <c r="N110" s="86"/>
      <c r="O110" s="86"/>
      <c r="P110" s="99"/>
      <c r="R110" t="s">
        <v>140</v>
      </c>
    </row>
    <row r="111" spans="2:18" x14ac:dyDescent="0.25">
      <c r="B111" s="84"/>
      <c r="C111" s="85"/>
      <c r="D111" s="45" t="str">
        <f>Basisgegevens!$D$37</f>
        <v>hydraulische rupskraan 2 m³</v>
      </c>
      <c r="E111" s="85"/>
      <c r="F111" s="85"/>
      <c r="G111" s="85"/>
      <c r="H111" s="86" t="s">
        <v>111</v>
      </c>
      <c r="I111" s="87">
        <v>6</v>
      </c>
      <c r="J111" s="9"/>
      <c r="K111" s="87">
        <f>K110/I111</f>
        <v>0</v>
      </c>
      <c r="L111" s="86"/>
      <c r="M111" s="98">
        <f>Basisgegevens!$M$37</f>
        <v>80</v>
      </c>
      <c r="N111" s="86"/>
      <c r="O111" s="81">
        <f>K111*M111</f>
        <v>0</v>
      </c>
      <c r="P111" s="99"/>
      <c r="R111" t="s">
        <v>148</v>
      </c>
    </row>
    <row r="112" spans="2:18" x14ac:dyDescent="0.25">
      <c r="B112" s="84"/>
      <c r="C112" s="85"/>
      <c r="D112" s="45" t="str">
        <f>Basisgegevens!$D$13</f>
        <v>grondwerker</v>
      </c>
      <c r="E112" s="85"/>
      <c r="F112" s="85"/>
      <c r="G112" s="85"/>
      <c r="H112" s="100" t="s">
        <v>111</v>
      </c>
      <c r="I112" s="90">
        <v>8</v>
      </c>
      <c r="J112" s="9"/>
      <c r="K112" s="87">
        <f>K110/I112</f>
        <v>0</v>
      </c>
      <c r="L112" s="86"/>
      <c r="M112" s="98">
        <f>Basisgegevens!$M$13</f>
        <v>35</v>
      </c>
      <c r="N112" s="86"/>
      <c r="O112" s="81">
        <f>K112*M112</f>
        <v>0</v>
      </c>
      <c r="P112" s="99"/>
      <c r="R112" t="s">
        <v>141</v>
      </c>
    </row>
    <row r="113" spans="2:16" x14ac:dyDescent="0.25">
      <c r="B113" s="84"/>
      <c r="C113" s="85"/>
      <c r="D113" s="86" t="s">
        <v>32</v>
      </c>
      <c r="E113" s="85"/>
      <c r="F113" s="85"/>
      <c r="G113" s="85"/>
      <c r="H113" s="100" t="s">
        <v>29</v>
      </c>
      <c r="I113" s="17"/>
      <c r="J113" s="9"/>
      <c r="K113" s="87"/>
      <c r="L113" s="86"/>
      <c r="M113" s="86"/>
      <c r="N113" s="86"/>
      <c r="O113" s="86"/>
      <c r="P113" s="99"/>
    </row>
    <row r="114" spans="2:16" x14ac:dyDescent="0.25">
      <c r="B114" s="84"/>
      <c r="C114" s="85"/>
      <c r="D114" s="45" t="str">
        <f>Basisgegevens!$D$69</f>
        <v>betonbuis ø700 mm</v>
      </c>
      <c r="E114" s="85"/>
      <c r="F114" s="85"/>
      <c r="G114" s="85"/>
      <c r="H114" s="100" t="s">
        <v>29</v>
      </c>
      <c r="I114" s="90">
        <v>1</v>
      </c>
      <c r="J114" s="9"/>
      <c r="K114" s="87">
        <f>K110/I114</f>
        <v>0</v>
      </c>
      <c r="L114" s="86"/>
      <c r="M114" s="88">
        <f>Basisgegevens!$M$69</f>
        <v>95</v>
      </c>
      <c r="N114" s="86"/>
      <c r="O114" s="81">
        <f>K114*M114</f>
        <v>0</v>
      </c>
      <c r="P114" s="99"/>
    </row>
    <row r="115" spans="2:16" x14ac:dyDescent="0.25">
      <c r="B115" s="84"/>
      <c r="C115" s="85"/>
      <c r="D115" s="86" t="s">
        <v>133</v>
      </c>
      <c r="E115" s="85"/>
      <c r="F115" s="85"/>
      <c r="G115" s="85"/>
      <c r="H115" s="100" t="s">
        <v>60</v>
      </c>
      <c r="I115" s="90"/>
      <c r="J115" s="9"/>
      <c r="K115" s="87"/>
      <c r="L115" s="86"/>
      <c r="M115" s="88"/>
      <c r="N115" s="86"/>
      <c r="O115" s="81"/>
      <c r="P115" s="99"/>
    </row>
    <row r="116" spans="2:16" x14ac:dyDescent="0.25">
      <c r="B116" s="84"/>
      <c r="C116" s="85"/>
      <c r="D116" s="45" t="str">
        <f>Basisgegevens!$D$73</f>
        <v>inspectieput prefabbeton 1000x1000</v>
      </c>
      <c r="E116" s="85"/>
      <c r="F116" s="85"/>
      <c r="G116" s="85"/>
      <c r="H116" s="100" t="s">
        <v>60</v>
      </c>
      <c r="I116" s="97">
        <v>1</v>
      </c>
      <c r="J116" s="9"/>
      <c r="K116" s="96">
        <f>IF(K110=0,0,CEILING(K110/45+1,1))</f>
        <v>0</v>
      </c>
      <c r="L116" s="86"/>
      <c r="M116" s="88">
        <f>Basisgegevens!$M$73</f>
        <v>2000</v>
      </c>
      <c r="N116" s="86"/>
      <c r="O116" s="81">
        <f>K116*M116</f>
        <v>0</v>
      </c>
      <c r="P116" s="99"/>
    </row>
    <row r="117" spans="2:16" x14ac:dyDescent="0.25">
      <c r="B117" s="84"/>
      <c r="C117" s="85"/>
      <c r="D117" s="86" t="s">
        <v>134</v>
      </c>
      <c r="E117" s="85"/>
      <c r="F117" s="85"/>
      <c r="G117" s="85"/>
      <c r="H117" s="100" t="s">
        <v>60</v>
      </c>
      <c r="I117" s="17"/>
      <c r="J117" s="17"/>
      <c r="K117" s="17"/>
      <c r="L117" s="86"/>
      <c r="M117" s="88"/>
      <c r="N117" s="86"/>
      <c r="O117" s="81"/>
      <c r="P117" s="99"/>
    </row>
    <row r="118" spans="2:16" x14ac:dyDescent="0.25">
      <c r="B118" s="84"/>
      <c r="C118" s="85"/>
      <c r="D118" s="45" t="str">
        <f>Basisgegevens!$D$13</f>
        <v>grondwerker</v>
      </c>
      <c r="E118" s="85"/>
      <c r="F118" s="85"/>
      <c r="G118" s="85"/>
      <c r="H118" s="100" t="s">
        <v>111</v>
      </c>
      <c r="I118" s="96">
        <v>2</v>
      </c>
      <c r="J118" s="17"/>
      <c r="K118" s="96">
        <f>K119/I118</f>
        <v>0</v>
      </c>
      <c r="L118" s="86"/>
      <c r="M118" s="88">
        <f>Basisgegevens!$M$13</f>
        <v>35</v>
      </c>
      <c r="N118" s="86"/>
      <c r="O118" s="81">
        <f>K118*M118</f>
        <v>0</v>
      </c>
      <c r="P118" s="99"/>
    </row>
    <row r="119" spans="2:16" x14ac:dyDescent="0.25">
      <c r="B119" s="84"/>
      <c r="C119" s="85"/>
      <c r="D119" s="45" t="str">
        <f>Basisgegevens!$D$77</f>
        <v>knevelinlaat</v>
      </c>
      <c r="E119" s="85"/>
      <c r="F119" s="85"/>
      <c r="G119" s="85"/>
      <c r="H119" s="100" t="s">
        <v>60</v>
      </c>
      <c r="I119" s="90">
        <v>1</v>
      </c>
      <c r="J119" s="9"/>
      <c r="K119" s="96">
        <f>CEILING(K110/5,1)</f>
        <v>0</v>
      </c>
      <c r="L119" s="86"/>
      <c r="M119" s="88">
        <f>Basisgegevens!$M$77</f>
        <v>18</v>
      </c>
      <c r="N119" s="86"/>
      <c r="O119" s="81">
        <f>K119*M119</f>
        <v>0</v>
      </c>
      <c r="P119" s="99"/>
    </row>
    <row r="120" spans="2:16" x14ac:dyDescent="0.25">
      <c r="B120" s="84"/>
      <c r="C120" s="85"/>
      <c r="D120" s="45" t="str">
        <f>Basisgegevens!$D$66</f>
        <v>pvcbuis ø125 mm</v>
      </c>
      <c r="E120" s="85"/>
      <c r="F120" s="85"/>
      <c r="G120" s="85"/>
      <c r="H120" s="100" t="s">
        <v>135</v>
      </c>
      <c r="I120" s="90">
        <v>1</v>
      </c>
      <c r="J120" s="9"/>
      <c r="K120" s="96">
        <f>CEILING(K110/5,1)</f>
        <v>0</v>
      </c>
      <c r="L120" s="86"/>
      <c r="M120" s="88">
        <f>Basisgegevens!$M$66</f>
        <v>12</v>
      </c>
      <c r="N120" s="86"/>
      <c r="O120" s="81">
        <f>K120*M120</f>
        <v>0</v>
      </c>
      <c r="P120" s="99"/>
    </row>
    <row r="121" spans="2:16" x14ac:dyDescent="0.25">
      <c r="B121" s="84"/>
      <c r="C121" s="85"/>
      <c r="D121" s="45" t="str">
        <f>Basisgegevens!$D$78</f>
        <v>flexibel zetting T-stuk stroom</v>
      </c>
      <c r="E121" s="85"/>
      <c r="F121" s="85"/>
      <c r="G121" s="85"/>
      <c r="H121" s="100" t="s">
        <v>60</v>
      </c>
      <c r="I121" s="90">
        <v>1</v>
      </c>
      <c r="J121" s="9"/>
      <c r="K121" s="96">
        <f>CEILING(K110/5,1)</f>
        <v>0</v>
      </c>
      <c r="L121" s="86"/>
      <c r="M121" s="88">
        <f>Basisgegevens!$M$78</f>
        <v>25</v>
      </c>
      <c r="N121" s="86"/>
      <c r="O121" s="81">
        <f>K121*M121</f>
        <v>0</v>
      </c>
      <c r="P121" s="99"/>
    </row>
    <row r="122" spans="2:16" x14ac:dyDescent="0.25">
      <c r="B122" s="84"/>
      <c r="C122" s="85"/>
      <c r="D122" s="86" t="s">
        <v>36</v>
      </c>
      <c r="E122" s="85"/>
      <c r="F122" s="85"/>
      <c r="G122" s="85"/>
      <c r="H122" s="100" t="s">
        <v>29</v>
      </c>
      <c r="I122" s="90"/>
      <c r="J122" s="9"/>
      <c r="K122" s="87"/>
      <c r="L122" s="86"/>
      <c r="M122" s="86"/>
      <c r="N122" s="86"/>
      <c r="O122" s="86"/>
      <c r="P122" s="99"/>
    </row>
    <row r="123" spans="2:16" x14ac:dyDescent="0.25">
      <c r="B123" s="84"/>
      <c r="C123" s="85"/>
      <c r="D123" s="45" t="s">
        <v>69</v>
      </c>
      <c r="F123" s="85"/>
      <c r="G123" s="85"/>
      <c r="H123" s="100" t="s">
        <v>111</v>
      </c>
      <c r="I123" s="90">
        <v>8</v>
      </c>
      <c r="J123" s="9"/>
      <c r="K123" s="87">
        <f>K110/I123</f>
        <v>0</v>
      </c>
      <c r="L123" s="86"/>
      <c r="M123" s="98">
        <v>80</v>
      </c>
      <c r="N123" s="86"/>
      <c r="O123" s="81">
        <f>K123*M123</f>
        <v>0</v>
      </c>
      <c r="P123" s="99"/>
    </row>
    <row r="124" spans="2:16" x14ac:dyDescent="0.25">
      <c r="B124" s="84"/>
      <c r="C124" s="85"/>
      <c r="D124" s="45" t="str">
        <f>Basisgegevens!$D$13</f>
        <v>grondwerker</v>
      </c>
      <c r="E124" s="85"/>
      <c r="F124" s="85"/>
      <c r="G124" s="85"/>
      <c r="H124" s="100" t="s">
        <v>111</v>
      </c>
      <c r="I124" s="90">
        <v>12</v>
      </c>
      <c r="J124" s="9"/>
      <c r="K124" s="87">
        <f>K110/I124</f>
        <v>0</v>
      </c>
      <c r="L124" s="86"/>
      <c r="M124" s="98">
        <f>Basisgegevens!$M$13</f>
        <v>35</v>
      </c>
      <c r="N124" s="86"/>
      <c r="O124" s="81">
        <f>K124*M124</f>
        <v>0</v>
      </c>
      <c r="P124" s="99"/>
    </row>
    <row r="125" spans="2:16" x14ac:dyDescent="0.25">
      <c r="B125" s="84"/>
      <c r="C125" s="85"/>
      <c r="D125" s="45" t="str">
        <f>Basisgegevens!$D$44</f>
        <v>explosiestamper, excl. bediening</v>
      </c>
      <c r="E125" s="85"/>
      <c r="F125" s="85"/>
      <c r="G125" s="85"/>
      <c r="H125" s="100" t="s">
        <v>122</v>
      </c>
      <c r="I125" s="90">
        <f>I123*8</f>
        <v>64</v>
      </c>
      <c r="J125" s="9"/>
      <c r="K125" s="87">
        <f>K110/I125</f>
        <v>0</v>
      </c>
      <c r="L125" s="86"/>
      <c r="M125" s="98">
        <f>Basisgegevens!$M$44</f>
        <v>10</v>
      </c>
      <c r="N125" s="86"/>
      <c r="O125" s="81">
        <f>K125*M125</f>
        <v>0</v>
      </c>
      <c r="P125" s="99"/>
    </row>
    <row r="126" spans="2:16" x14ac:dyDescent="0.25">
      <c r="B126" s="84"/>
      <c r="C126" s="85"/>
      <c r="D126" s="86" t="s">
        <v>121</v>
      </c>
      <c r="E126" s="85"/>
      <c r="F126" s="85"/>
      <c r="G126" s="85"/>
      <c r="H126" s="100" t="s">
        <v>29</v>
      </c>
      <c r="I126" s="90"/>
      <c r="J126" s="9"/>
      <c r="K126" s="87"/>
      <c r="L126" s="86"/>
      <c r="M126" s="86"/>
      <c r="N126" s="86"/>
      <c r="O126" s="86"/>
      <c r="P126" s="99"/>
    </row>
    <row r="127" spans="2:16" x14ac:dyDescent="0.25">
      <c r="B127" s="84"/>
      <c r="C127" s="85"/>
      <c r="D127" s="45" t="str">
        <f>Basisgegevens!$D$84</f>
        <v>zand voor ophoging</v>
      </c>
      <c r="E127" s="85"/>
      <c r="F127" s="85"/>
      <c r="G127" s="85"/>
      <c r="H127" s="100" t="s">
        <v>168</v>
      </c>
      <c r="I127" s="90">
        <v>1</v>
      </c>
      <c r="J127" s="9"/>
      <c r="K127" s="87">
        <f>K110*0.1*6/1.7</f>
        <v>0</v>
      </c>
      <c r="L127" s="86"/>
      <c r="M127" s="98">
        <f>Basisgegevens!$M$84</f>
        <v>5.5</v>
      </c>
      <c r="N127" s="86"/>
      <c r="O127" s="81">
        <f>K127*M127</f>
        <v>0</v>
      </c>
      <c r="P127" s="99"/>
    </row>
    <row r="128" spans="2:16" x14ac:dyDescent="0.25">
      <c r="B128" s="6"/>
      <c r="C128" s="10"/>
      <c r="D128" s="9" t="s">
        <v>37</v>
      </c>
      <c r="E128" s="10"/>
      <c r="F128" s="10"/>
      <c r="G128" s="10"/>
      <c r="H128" s="10" t="s">
        <v>29</v>
      </c>
      <c r="I128" s="79"/>
      <c r="J128" s="79"/>
      <c r="K128" s="17"/>
      <c r="L128" s="10"/>
      <c r="M128" s="81"/>
      <c r="N128" s="10"/>
      <c r="O128" s="81"/>
      <c r="P128" s="101"/>
    </row>
    <row r="129" spans="2:18" x14ac:dyDescent="0.25">
      <c r="B129" s="6"/>
      <c r="C129" s="10"/>
      <c r="D129" s="67" t="str">
        <f>Basisgegevens!$D$25</f>
        <v>vrachtauto 6x6 12 m³</v>
      </c>
      <c r="E129" s="10"/>
      <c r="F129" s="10"/>
      <c r="G129" s="10"/>
      <c r="H129" s="102" t="s">
        <v>111</v>
      </c>
      <c r="I129" s="79">
        <f>12*1.7</f>
        <v>20.399999999999999</v>
      </c>
      <c r="J129" s="79"/>
      <c r="K129" s="79">
        <f>K127/I129</f>
        <v>0</v>
      </c>
      <c r="L129" s="10"/>
      <c r="M129" s="81">
        <f>Basisgegevens!$M$25</f>
        <v>55</v>
      </c>
      <c r="N129" s="10"/>
      <c r="O129" s="81">
        <f>K129*M129</f>
        <v>0</v>
      </c>
      <c r="P129" s="101"/>
    </row>
    <row r="130" spans="2:18" x14ac:dyDescent="0.25">
      <c r="B130" s="6"/>
      <c r="C130" s="10"/>
      <c r="D130" s="67" t="str">
        <f>Basisgegevens!$D$91</f>
        <v>stortkosten schone grond</v>
      </c>
      <c r="E130" s="10"/>
      <c r="F130" s="10"/>
      <c r="G130" s="10"/>
      <c r="H130" s="10" t="s">
        <v>168</v>
      </c>
      <c r="I130" s="79">
        <v>1</v>
      </c>
      <c r="J130" s="79"/>
      <c r="K130" s="79">
        <f>K127</f>
        <v>0</v>
      </c>
      <c r="L130" s="10"/>
      <c r="M130" s="81">
        <f>Basisgegevens!$M$91</f>
        <v>3.75</v>
      </c>
      <c r="N130" s="10"/>
      <c r="O130" s="81">
        <f>K130*M130</f>
        <v>0</v>
      </c>
      <c r="P130" s="101"/>
    </row>
    <row r="131" spans="2:18" x14ac:dyDescent="0.25">
      <c r="B131" s="73"/>
      <c r="C131" s="83"/>
      <c r="D131" s="83" t="s">
        <v>22</v>
      </c>
      <c r="E131" s="83"/>
      <c r="F131" s="83"/>
      <c r="G131" s="83"/>
      <c r="H131" s="83" t="s">
        <v>29</v>
      </c>
      <c r="I131" s="80"/>
      <c r="J131" s="83"/>
      <c r="K131" s="80">
        <f>K110</f>
        <v>0</v>
      </c>
      <c r="L131" s="83"/>
      <c r="M131" s="103" t="e">
        <f>O131/K110</f>
        <v>#DIV/0!</v>
      </c>
      <c r="N131" s="83"/>
      <c r="O131" s="103">
        <f>SUM(O111:O130)</f>
        <v>0</v>
      </c>
      <c r="P131" s="104"/>
    </row>
    <row r="132" spans="2:18" ht="5.0999999999999996" customHeight="1" thickBot="1" x14ac:dyDescent="0.3">
      <c r="B132" s="12"/>
      <c r="C132" s="13"/>
      <c r="D132" s="13"/>
      <c r="E132" s="13"/>
      <c r="F132" s="13"/>
      <c r="G132" s="13"/>
      <c r="H132" s="13"/>
      <c r="I132" s="15"/>
      <c r="J132" s="13"/>
      <c r="K132" s="15"/>
      <c r="L132" s="13"/>
      <c r="M132" s="13"/>
      <c r="N132" s="13"/>
      <c r="O132" s="13"/>
      <c r="P132" s="14"/>
    </row>
    <row r="133" spans="2:18" ht="30" customHeight="1" thickBot="1" x14ac:dyDescent="0.3"/>
    <row r="134" spans="2:18" ht="5.0999999999999996" customHeight="1" x14ac:dyDescent="0.25">
      <c r="B134" s="3"/>
      <c r="C134" s="4"/>
      <c r="D134" s="4"/>
      <c r="E134" s="4"/>
      <c r="F134" s="4"/>
      <c r="G134" s="4"/>
      <c r="H134" s="55"/>
      <c r="I134" s="4"/>
      <c r="J134" s="4"/>
      <c r="K134" s="4"/>
      <c r="L134" s="4"/>
      <c r="M134" s="4"/>
      <c r="N134" s="4"/>
      <c r="O134" s="4"/>
      <c r="P134" s="5"/>
    </row>
    <row r="135" spans="2:18" x14ac:dyDescent="0.25">
      <c r="B135" s="34"/>
      <c r="C135" s="94"/>
      <c r="D135" s="36"/>
      <c r="E135" s="36"/>
      <c r="F135" s="36"/>
      <c r="G135" s="36"/>
      <c r="H135" s="36"/>
      <c r="I135" s="44"/>
      <c r="J135" s="36"/>
      <c r="K135" s="44"/>
      <c r="L135" s="36"/>
      <c r="M135" s="36"/>
      <c r="N135" s="36"/>
      <c r="O135" s="36"/>
      <c r="P135" s="37"/>
      <c r="R135" s="105" t="s">
        <v>137</v>
      </c>
    </row>
    <row r="136" spans="2:18" x14ac:dyDescent="0.25">
      <c r="B136" s="34"/>
      <c r="C136" s="35" t="s">
        <v>432</v>
      </c>
      <c r="D136" s="36"/>
      <c r="E136" s="36"/>
      <c r="F136" s="36"/>
      <c r="G136" s="36"/>
      <c r="H136"/>
      <c r="I136" s="44"/>
      <c r="K136" s="44"/>
      <c r="L136" s="36"/>
      <c r="M136" s="1"/>
      <c r="N136" s="1"/>
      <c r="O136" s="71" t="s">
        <v>62</v>
      </c>
      <c r="P136" s="37"/>
      <c r="R136" t="s">
        <v>145</v>
      </c>
    </row>
    <row r="137" spans="2:18" ht="15.75" thickBot="1" x14ac:dyDescent="0.3">
      <c r="B137" s="68"/>
      <c r="C137" s="48" t="s">
        <v>56</v>
      </c>
      <c r="D137" s="48" t="s">
        <v>55</v>
      </c>
      <c r="E137" s="50"/>
      <c r="F137" s="48"/>
      <c r="G137" s="48"/>
      <c r="H137" s="48" t="s">
        <v>107</v>
      </c>
      <c r="I137" s="78" t="s">
        <v>108</v>
      </c>
      <c r="J137" s="69"/>
      <c r="K137" s="82" t="s">
        <v>110</v>
      </c>
      <c r="L137" s="48"/>
      <c r="M137" s="48" t="s">
        <v>109</v>
      </c>
      <c r="N137" s="48"/>
      <c r="O137" s="48" t="s">
        <v>19</v>
      </c>
      <c r="P137" s="70"/>
      <c r="R137" t="s">
        <v>430</v>
      </c>
    </row>
    <row r="138" spans="2:18" x14ac:dyDescent="0.25">
      <c r="B138" s="84"/>
      <c r="C138" s="85"/>
      <c r="D138" s="86" t="s">
        <v>118</v>
      </c>
      <c r="E138" s="85"/>
      <c r="F138" s="85"/>
      <c r="G138" s="85"/>
      <c r="H138" s="86" t="s">
        <v>29</v>
      </c>
      <c r="I138" s="89"/>
      <c r="J138" s="9"/>
      <c r="K138" s="87">
        <f>SUM(Input!M67)</f>
        <v>0</v>
      </c>
      <c r="L138" s="86"/>
      <c r="M138" s="86"/>
      <c r="N138" s="86"/>
      <c r="O138" s="86"/>
      <c r="P138" s="99"/>
      <c r="R138" t="s">
        <v>140</v>
      </c>
    </row>
    <row r="139" spans="2:18" x14ac:dyDescent="0.25">
      <c r="B139" s="84"/>
      <c r="C139" s="85"/>
      <c r="D139" s="45" t="str">
        <f>Basisgegevens!$D$37</f>
        <v>hydraulische rupskraan 2 m³</v>
      </c>
      <c r="E139" s="85"/>
      <c r="F139" s="85"/>
      <c r="G139" s="85"/>
      <c r="H139" s="86" t="s">
        <v>111</v>
      </c>
      <c r="I139" s="87">
        <v>4</v>
      </c>
      <c r="J139" s="9"/>
      <c r="K139" s="87">
        <f>K138/I139</f>
        <v>0</v>
      </c>
      <c r="L139" s="86"/>
      <c r="M139" s="98">
        <v>80</v>
      </c>
      <c r="N139" s="86"/>
      <c r="O139" s="81">
        <f>K139*M139</f>
        <v>0</v>
      </c>
      <c r="P139" s="99"/>
      <c r="R139" t="s">
        <v>149</v>
      </c>
    </row>
    <row r="140" spans="2:18" x14ac:dyDescent="0.25">
      <c r="B140" s="84"/>
      <c r="C140" s="85"/>
      <c r="D140" s="45" t="str">
        <f>Basisgegevens!$D$13</f>
        <v>grondwerker</v>
      </c>
      <c r="E140" s="85"/>
      <c r="F140" s="85"/>
      <c r="G140" s="85"/>
      <c r="H140" s="100" t="s">
        <v>111</v>
      </c>
      <c r="I140" s="90">
        <v>6</v>
      </c>
      <c r="J140" s="9"/>
      <c r="K140" s="87">
        <f>K138/I140</f>
        <v>0</v>
      </c>
      <c r="L140" s="86"/>
      <c r="M140" s="98">
        <f>Basisgegevens!$M$13</f>
        <v>35</v>
      </c>
      <c r="N140" s="86"/>
      <c r="O140" s="81">
        <f>K140*M140</f>
        <v>0</v>
      </c>
      <c r="P140" s="99"/>
      <c r="R140" t="s">
        <v>141</v>
      </c>
    </row>
    <row r="141" spans="2:18" x14ac:dyDescent="0.25">
      <c r="B141" s="84"/>
      <c r="C141" s="85"/>
      <c r="D141" s="86" t="s">
        <v>32</v>
      </c>
      <c r="E141" s="85"/>
      <c r="F141" s="85"/>
      <c r="G141" s="85"/>
      <c r="H141" s="100" t="s">
        <v>29</v>
      </c>
      <c r="I141" s="17"/>
      <c r="J141" s="9"/>
      <c r="K141" s="87"/>
      <c r="L141" s="86"/>
      <c r="M141" s="86"/>
      <c r="N141" s="86"/>
      <c r="O141" s="86"/>
      <c r="P141" s="99"/>
    </row>
    <row r="142" spans="2:18" x14ac:dyDescent="0.25">
      <c r="B142" s="84"/>
      <c r="C142" s="85"/>
      <c r="D142" s="45" t="str">
        <f>Basisgegevens!$D$70</f>
        <v>betonbuis ø1000 mm, gewapend</v>
      </c>
      <c r="E142" s="85"/>
      <c r="F142" s="85"/>
      <c r="G142" s="85"/>
      <c r="H142" s="100" t="s">
        <v>29</v>
      </c>
      <c r="I142" s="90">
        <v>1</v>
      </c>
      <c r="J142" s="9"/>
      <c r="K142" s="87">
        <f>K138/I142</f>
        <v>0</v>
      </c>
      <c r="L142" s="86"/>
      <c r="M142" s="88">
        <f>Basisgegevens!$M$70</f>
        <v>225</v>
      </c>
      <c r="N142" s="86"/>
      <c r="O142" s="81">
        <f>K142*M142</f>
        <v>0</v>
      </c>
      <c r="P142" s="99"/>
    </row>
    <row r="143" spans="2:18" x14ac:dyDescent="0.25">
      <c r="B143" s="84"/>
      <c r="C143" s="85"/>
      <c r="D143" s="86" t="s">
        <v>133</v>
      </c>
      <c r="E143" s="85"/>
      <c r="F143" s="85"/>
      <c r="G143" s="85"/>
      <c r="H143" s="100" t="s">
        <v>60</v>
      </c>
      <c r="I143" s="90"/>
      <c r="J143" s="9"/>
      <c r="K143" s="87"/>
      <c r="L143" s="86"/>
      <c r="M143" s="88"/>
      <c r="N143" s="86"/>
      <c r="O143" s="81"/>
      <c r="P143" s="99"/>
    </row>
    <row r="144" spans="2:18" x14ac:dyDescent="0.25">
      <c r="B144" s="84"/>
      <c r="C144" s="85"/>
      <c r="D144" s="45" t="str">
        <f>Basisgegevens!$D$74</f>
        <v>inspectieput prefabbeton 1300x1300</v>
      </c>
      <c r="E144" s="85"/>
      <c r="F144" s="85"/>
      <c r="G144" s="85"/>
      <c r="H144" s="100" t="s">
        <v>60</v>
      </c>
      <c r="I144" s="97">
        <v>1</v>
      </c>
      <c r="J144" s="9"/>
      <c r="K144" s="96">
        <f>IF(K138=0,0,CEILING(K138/45+1,1))</f>
        <v>0</v>
      </c>
      <c r="L144" s="86"/>
      <c r="M144" s="88">
        <f>Basisgegevens!$M$74</f>
        <v>4000</v>
      </c>
      <c r="N144" s="86"/>
      <c r="O144" s="81">
        <f>K144*M144</f>
        <v>0</v>
      </c>
      <c r="P144" s="99"/>
    </row>
    <row r="145" spans="2:16" x14ac:dyDescent="0.25">
      <c r="B145" s="84"/>
      <c r="C145" s="85"/>
      <c r="D145" s="86" t="s">
        <v>134</v>
      </c>
      <c r="E145" s="85"/>
      <c r="F145" s="85"/>
      <c r="G145" s="85"/>
      <c r="H145" s="100" t="s">
        <v>60</v>
      </c>
      <c r="I145" s="17"/>
      <c r="J145" s="17"/>
      <c r="K145" s="17"/>
      <c r="L145" s="86"/>
      <c r="M145" s="88"/>
      <c r="N145" s="86"/>
      <c r="O145" s="81"/>
      <c r="P145" s="99"/>
    </row>
    <row r="146" spans="2:16" x14ac:dyDescent="0.25">
      <c r="B146" s="84"/>
      <c r="C146" s="85"/>
      <c r="D146" s="45" t="str">
        <f>Basisgegevens!$D$13</f>
        <v>grondwerker</v>
      </c>
      <c r="E146" s="85"/>
      <c r="F146" s="85"/>
      <c r="G146" s="85"/>
      <c r="H146" s="100" t="s">
        <v>111</v>
      </c>
      <c r="I146" s="96">
        <v>2</v>
      </c>
      <c r="J146" s="17"/>
      <c r="K146" s="96">
        <f>K147/I146</f>
        <v>0</v>
      </c>
      <c r="L146" s="86"/>
      <c r="M146" s="88">
        <f>Basisgegevens!$M$13</f>
        <v>35</v>
      </c>
      <c r="N146" s="86"/>
      <c r="O146" s="81">
        <f>K146*M146</f>
        <v>0</v>
      </c>
      <c r="P146" s="99"/>
    </row>
    <row r="147" spans="2:16" x14ac:dyDescent="0.25">
      <c r="B147" s="84"/>
      <c r="C147" s="85"/>
      <c r="D147" s="45" t="str">
        <f>Basisgegevens!$D$77</f>
        <v>knevelinlaat</v>
      </c>
      <c r="E147" s="85"/>
      <c r="F147" s="85"/>
      <c r="G147" s="85"/>
      <c r="H147" s="100" t="s">
        <v>60</v>
      </c>
      <c r="I147" s="90">
        <v>1</v>
      </c>
      <c r="J147" s="9"/>
      <c r="K147" s="96">
        <f>CEILING(K138/5,1)</f>
        <v>0</v>
      </c>
      <c r="L147" s="86"/>
      <c r="M147" s="88">
        <f>Basisgegevens!$M$77</f>
        <v>18</v>
      </c>
      <c r="N147" s="86"/>
      <c r="O147" s="81">
        <f>K147*M147</f>
        <v>0</v>
      </c>
      <c r="P147" s="99"/>
    </row>
    <row r="148" spans="2:16" x14ac:dyDescent="0.25">
      <c r="B148" s="84"/>
      <c r="C148" s="85"/>
      <c r="D148" s="45" t="str">
        <f>Basisgegevens!$D$66</f>
        <v>pvcbuis ø125 mm</v>
      </c>
      <c r="E148" s="85"/>
      <c r="F148" s="85"/>
      <c r="G148" s="85"/>
      <c r="H148" s="100" t="s">
        <v>135</v>
      </c>
      <c r="I148" s="90">
        <v>1</v>
      </c>
      <c r="J148" s="9"/>
      <c r="K148" s="96">
        <f>CEILING(K138/5,1)</f>
        <v>0</v>
      </c>
      <c r="L148" s="86"/>
      <c r="M148" s="88">
        <f>Basisgegevens!$M$66</f>
        <v>12</v>
      </c>
      <c r="N148" s="86"/>
      <c r="O148" s="81">
        <f>K148*M148</f>
        <v>0</v>
      </c>
      <c r="P148" s="99"/>
    </row>
    <row r="149" spans="2:16" x14ac:dyDescent="0.25">
      <c r="B149" s="84"/>
      <c r="C149" s="85"/>
      <c r="D149" s="45" t="str">
        <f>Basisgegevens!$D$78</f>
        <v>flexibel zetting T-stuk stroom</v>
      </c>
      <c r="E149" s="85"/>
      <c r="F149" s="85"/>
      <c r="G149" s="85"/>
      <c r="H149" s="100" t="s">
        <v>60</v>
      </c>
      <c r="I149" s="90">
        <v>1</v>
      </c>
      <c r="J149" s="9"/>
      <c r="K149" s="96">
        <f>CEILING(K138/5,1)</f>
        <v>0</v>
      </c>
      <c r="L149" s="86"/>
      <c r="M149" s="88">
        <f>Basisgegevens!$M$78</f>
        <v>25</v>
      </c>
      <c r="N149" s="86"/>
      <c r="O149" s="81">
        <f>K149*M149</f>
        <v>0</v>
      </c>
      <c r="P149" s="99"/>
    </row>
    <row r="150" spans="2:16" x14ac:dyDescent="0.25">
      <c r="B150" s="84"/>
      <c r="C150" s="85"/>
      <c r="D150" s="86" t="s">
        <v>36</v>
      </c>
      <c r="E150" s="85"/>
      <c r="F150" s="85"/>
      <c r="G150" s="85"/>
      <c r="H150" s="100" t="s">
        <v>29</v>
      </c>
      <c r="I150" s="90"/>
      <c r="J150" s="9"/>
      <c r="K150" s="87"/>
      <c r="L150" s="86"/>
      <c r="M150" s="86"/>
      <c r="N150" s="86"/>
      <c r="O150" s="86"/>
      <c r="P150" s="99"/>
    </row>
    <row r="151" spans="2:16" x14ac:dyDescent="0.25">
      <c r="B151" s="84"/>
      <c r="C151" s="85"/>
      <c r="D151" s="45" t="str">
        <f>Basisgegevens!$D$37</f>
        <v>hydraulische rupskraan 2 m³</v>
      </c>
      <c r="E151" s="85"/>
      <c r="F151" s="85"/>
      <c r="G151" s="85"/>
      <c r="H151" s="100" t="s">
        <v>111</v>
      </c>
      <c r="I151" s="90">
        <v>5</v>
      </c>
      <c r="J151" s="9"/>
      <c r="K151" s="87">
        <f>K138/I151</f>
        <v>0</v>
      </c>
      <c r="L151" s="86"/>
      <c r="M151" s="98">
        <v>80</v>
      </c>
      <c r="N151" s="86"/>
      <c r="O151" s="81">
        <f>K151*M151</f>
        <v>0</v>
      </c>
      <c r="P151" s="99"/>
    </row>
    <row r="152" spans="2:16" x14ac:dyDescent="0.25">
      <c r="B152" s="84"/>
      <c r="C152" s="85"/>
      <c r="D152" s="45" t="str">
        <f>Basisgegevens!$D$13</f>
        <v>grondwerker</v>
      </c>
      <c r="E152" s="85"/>
      <c r="F152" s="85"/>
      <c r="G152" s="85"/>
      <c r="H152" s="100" t="s">
        <v>111</v>
      </c>
      <c r="I152" s="90">
        <v>10</v>
      </c>
      <c r="J152" s="9"/>
      <c r="K152" s="87">
        <f>K138/I152</f>
        <v>0</v>
      </c>
      <c r="L152" s="86"/>
      <c r="M152" s="98">
        <f>Basisgegevens!$M$13</f>
        <v>35</v>
      </c>
      <c r="N152" s="86"/>
      <c r="O152" s="81">
        <f>K152*M152</f>
        <v>0</v>
      </c>
      <c r="P152" s="99"/>
    </row>
    <row r="153" spans="2:16" x14ac:dyDescent="0.25">
      <c r="B153" s="84"/>
      <c r="C153" s="85"/>
      <c r="D153" s="45" t="str">
        <f>Basisgegevens!$D$44</f>
        <v>explosiestamper, excl. bediening</v>
      </c>
      <c r="E153" s="85"/>
      <c r="F153" s="85"/>
      <c r="G153" s="85"/>
      <c r="H153" s="100" t="s">
        <v>122</v>
      </c>
      <c r="I153" s="90">
        <f>I151*8</f>
        <v>40</v>
      </c>
      <c r="J153" s="9"/>
      <c r="K153" s="87">
        <f>K138/I153</f>
        <v>0</v>
      </c>
      <c r="L153" s="86"/>
      <c r="M153" s="98">
        <f>Basisgegevens!$M$44</f>
        <v>10</v>
      </c>
      <c r="N153" s="86"/>
      <c r="O153" s="81">
        <f>K153*M153</f>
        <v>0</v>
      </c>
      <c r="P153" s="99"/>
    </row>
    <row r="154" spans="2:16" x14ac:dyDescent="0.25">
      <c r="B154" s="84"/>
      <c r="C154" s="85"/>
      <c r="D154" s="86" t="s">
        <v>121</v>
      </c>
      <c r="E154" s="85"/>
      <c r="F154" s="85"/>
      <c r="G154" s="85"/>
      <c r="H154" s="100" t="s">
        <v>29</v>
      </c>
      <c r="I154" s="90"/>
      <c r="J154" s="9"/>
      <c r="K154" s="87"/>
      <c r="L154" s="86"/>
      <c r="M154" s="86"/>
      <c r="N154" s="86"/>
      <c r="O154" s="86"/>
      <c r="P154" s="99"/>
    </row>
    <row r="155" spans="2:16" x14ac:dyDescent="0.25">
      <c r="B155" s="84"/>
      <c r="C155" s="85"/>
      <c r="D155" s="45" t="str">
        <f>Basisgegevens!$D$84</f>
        <v>zand voor ophoging</v>
      </c>
      <c r="E155" s="85"/>
      <c r="F155" s="85"/>
      <c r="G155" s="85"/>
      <c r="H155" s="100" t="s">
        <v>168</v>
      </c>
      <c r="I155" s="90">
        <v>1</v>
      </c>
      <c r="J155" s="9"/>
      <c r="K155" s="87">
        <f>K138*0.1*10/1.7</f>
        <v>0</v>
      </c>
      <c r="L155" s="86"/>
      <c r="M155" s="98">
        <f>Basisgegevens!$M$84</f>
        <v>5.5</v>
      </c>
      <c r="N155" s="86"/>
      <c r="O155" s="81">
        <f>K155*M155</f>
        <v>0</v>
      </c>
      <c r="P155" s="99"/>
    </row>
    <row r="156" spans="2:16" x14ac:dyDescent="0.25">
      <c r="B156" s="6"/>
      <c r="C156" s="10"/>
      <c r="D156" s="9" t="s">
        <v>37</v>
      </c>
      <c r="E156" s="10"/>
      <c r="F156" s="10"/>
      <c r="G156" s="10"/>
      <c r="H156" s="10" t="s">
        <v>29</v>
      </c>
      <c r="I156" s="79"/>
      <c r="J156" s="79"/>
      <c r="K156" s="17"/>
      <c r="L156" s="10"/>
      <c r="M156" s="81"/>
      <c r="N156" s="10"/>
      <c r="O156" s="81"/>
      <c r="P156" s="101"/>
    </row>
    <row r="157" spans="2:16" x14ac:dyDescent="0.25">
      <c r="B157" s="6"/>
      <c r="C157" s="10"/>
      <c r="D157" s="67" t="str">
        <f>Basisgegevens!$D$25</f>
        <v>vrachtauto 6x6 12 m³</v>
      </c>
      <c r="E157" s="10"/>
      <c r="F157" s="10"/>
      <c r="G157" s="10"/>
      <c r="H157" s="102" t="s">
        <v>111</v>
      </c>
      <c r="I157" s="79">
        <f>12*1.7</f>
        <v>20.399999999999999</v>
      </c>
      <c r="J157" s="79"/>
      <c r="K157" s="79">
        <f>K155/I157</f>
        <v>0</v>
      </c>
      <c r="L157" s="10"/>
      <c r="M157" s="81">
        <f>Basisgegevens!$M$25</f>
        <v>55</v>
      </c>
      <c r="N157" s="10"/>
      <c r="O157" s="81">
        <f>K157*M157</f>
        <v>0</v>
      </c>
      <c r="P157" s="101"/>
    </row>
    <row r="158" spans="2:16" x14ac:dyDescent="0.25">
      <c r="B158" s="6"/>
      <c r="C158" s="10"/>
      <c r="D158" s="67" t="str">
        <f>Basisgegevens!$D$91</f>
        <v>stortkosten schone grond</v>
      </c>
      <c r="E158" s="10"/>
      <c r="F158" s="10"/>
      <c r="G158" s="10"/>
      <c r="H158" s="10" t="s">
        <v>168</v>
      </c>
      <c r="I158" s="79">
        <v>1</v>
      </c>
      <c r="J158" s="79"/>
      <c r="K158" s="79">
        <f>K155</f>
        <v>0</v>
      </c>
      <c r="L158" s="10"/>
      <c r="M158" s="81">
        <f>Basisgegevens!$M$91</f>
        <v>3.75</v>
      </c>
      <c r="N158" s="10"/>
      <c r="O158" s="81">
        <f>K158*M158</f>
        <v>0</v>
      </c>
      <c r="P158" s="101"/>
    </row>
    <row r="159" spans="2:16" x14ac:dyDescent="0.25">
      <c r="B159" s="73"/>
      <c r="C159" s="83"/>
      <c r="D159" s="83" t="s">
        <v>22</v>
      </c>
      <c r="E159" s="83"/>
      <c r="F159" s="83"/>
      <c r="G159" s="83"/>
      <c r="H159" s="83" t="s">
        <v>29</v>
      </c>
      <c r="I159" s="80"/>
      <c r="J159" s="83"/>
      <c r="K159" s="80">
        <f>K138</f>
        <v>0</v>
      </c>
      <c r="L159" s="83"/>
      <c r="M159" s="103" t="e">
        <f>O159/K138</f>
        <v>#DIV/0!</v>
      </c>
      <c r="N159" s="83"/>
      <c r="O159" s="103">
        <f>SUM(O139:O158)</f>
        <v>0</v>
      </c>
      <c r="P159" s="104"/>
    </row>
    <row r="160" spans="2:16" ht="5.0999999999999996" customHeight="1" thickBot="1" x14ac:dyDescent="0.3">
      <c r="B160" s="12"/>
      <c r="C160" s="13"/>
      <c r="D160" s="13"/>
      <c r="E160" s="13"/>
      <c r="F160" s="13"/>
      <c r="G160" s="13"/>
      <c r="H160" s="13"/>
      <c r="I160" s="15"/>
      <c r="J160" s="13"/>
      <c r="K160" s="15"/>
      <c r="L160" s="13"/>
      <c r="M160" s="13"/>
      <c r="N160" s="13"/>
      <c r="O160" s="13"/>
      <c r="P160" s="14"/>
    </row>
    <row r="161" spans="2:18" ht="30" customHeight="1" thickBot="1" x14ac:dyDescent="0.3"/>
    <row r="162" spans="2:18" ht="5.0999999999999996" customHeight="1" x14ac:dyDescent="0.25">
      <c r="B162" s="3"/>
      <c r="C162" s="4"/>
      <c r="D162" s="4"/>
      <c r="E162" s="4"/>
      <c r="F162" s="4"/>
      <c r="G162" s="4"/>
      <c r="H162" s="55"/>
      <c r="I162" s="4"/>
      <c r="J162" s="4"/>
      <c r="K162" s="4"/>
      <c r="L162" s="4"/>
      <c r="M162" s="4"/>
      <c r="N162" s="4"/>
      <c r="O162" s="4"/>
      <c r="P162" s="5"/>
    </row>
    <row r="163" spans="2:18" x14ac:dyDescent="0.25">
      <c r="B163" s="34"/>
      <c r="C163" s="94"/>
      <c r="D163" s="36"/>
      <c r="E163" s="36"/>
      <c r="F163" s="36"/>
      <c r="G163" s="36"/>
      <c r="H163" s="36"/>
      <c r="I163" s="44"/>
      <c r="J163" s="36"/>
      <c r="K163" s="44"/>
      <c r="L163" s="36"/>
      <c r="M163" s="36"/>
      <c r="N163" s="36"/>
      <c r="O163" s="36"/>
      <c r="P163" s="37"/>
      <c r="R163" s="105" t="s">
        <v>137</v>
      </c>
    </row>
    <row r="164" spans="2:18" x14ac:dyDescent="0.25">
      <c r="B164" s="34"/>
      <c r="C164" s="35" t="s">
        <v>431</v>
      </c>
      <c r="D164" s="36"/>
      <c r="E164" s="36"/>
      <c r="F164" s="36"/>
      <c r="G164" s="36"/>
      <c r="H164"/>
      <c r="I164" s="44"/>
      <c r="K164" s="44"/>
      <c r="L164" s="36"/>
      <c r="M164" s="1"/>
      <c r="N164" s="1"/>
      <c r="O164" s="71" t="s">
        <v>62</v>
      </c>
      <c r="P164" s="37"/>
      <c r="R164" t="s">
        <v>142</v>
      </c>
    </row>
    <row r="165" spans="2:18" ht="15.75" thickBot="1" x14ac:dyDescent="0.3">
      <c r="B165" s="68"/>
      <c r="C165" s="48" t="s">
        <v>56</v>
      </c>
      <c r="D165" s="48" t="s">
        <v>55</v>
      </c>
      <c r="E165" s="50"/>
      <c r="F165" s="48"/>
      <c r="G165" s="48"/>
      <c r="H165" s="48" t="s">
        <v>107</v>
      </c>
      <c r="I165" s="78" t="s">
        <v>108</v>
      </c>
      <c r="J165" s="69"/>
      <c r="K165" s="82" t="s">
        <v>110</v>
      </c>
      <c r="L165" s="48"/>
      <c r="M165" s="48" t="s">
        <v>109</v>
      </c>
      <c r="N165" s="48"/>
      <c r="O165" s="48" t="s">
        <v>19</v>
      </c>
      <c r="P165" s="70"/>
      <c r="R165" t="s">
        <v>144</v>
      </c>
    </row>
    <row r="166" spans="2:18" x14ac:dyDescent="0.25">
      <c r="B166" s="84"/>
      <c r="C166" s="85"/>
      <c r="D166" s="86" t="s">
        <v>118</v>
      </c>
      <c r="E166" s="85"/>
      <c r="F166" s="85"/>
      <c r="G166" s="85"/>
      <c r="H166" s="86" t="s">
        <v>29</v>
      </c>
      <c r="I166" s="89"/>
      <c r="J166" s="9"/>
      <c r="K166" s="87">
        <f>SUM(Input!G69)</f>
        <v>0</v>
      </c>
      <c r="L166" s="86"/>
      <c r="M166" s="86"/>
      <c r="N166" s="86"/>
      <c r="O166" s="86"/>
      <c r="P166" s="99"/>
      <c r="R166" t="s">
        <v>140</v>
      </c>
    </row>
    <row r="167" spans="2:18" x14ac:dyDescent="0.25">
      <c r="B167" s="84"/>
      <c r="C167" s="85"/>
      <c r="D167" s="45" t="str">
        <f>Basisgegevens!$D$36</f>
        <v>hydraulische rupskraan 1 m³</v>
      </c>
      <c r="E167" s="85"/>
      <c r="F167" s="85"/>
      <c r="G167" s="85"/>
      <c r="H167" s="86" t="s">
        <v>111</v>
      </c>
      <c r="I167" s="87">
        <v>8</v>
      </c>
      <c r="J167" s="9"/>
      <c r="K167" s="87">
        <f>K166/I167</f>
        <v>0</v>
      </c>
      <c r="L167" s="86"/>
      <c r="M167" s="98">
        <f>Basisgegevens!$M$36</f>
        <v>70</v>
      </c>
      <c r="N167" s="86"/>
      <c r="O167" s="81">
        <f>K167*M167</f>
        <v>0</v>
      </c>
      <c r="P167" s="99"/>
      <c r="R167" t="s">
        <v>148</v>
      </c>
    </row>
    <row r="168" spans="2:18" x14ac:dyDescent="0.25">
      <c r="B168" s="84"/>
      <c r="C168" s="85"/>
      <c r="D168" s="45" t="str">
        <f>Basisgegevens!$D$13</f>
        <v>grondwerker</v>
      </c>
      <c r="E168" s="85"/>
      <c r="F168" s="85"/>
      <c r="G168" s="85"/>
      <c r="H168" s="100" t="s">
        <v>111</v>
      </c>
      <c r="I168" s="90">
        <v>10</v>
      </c>
      <c r="J168" s="9"/>
      <c r="K168" s="87">
        <f>K166/I168</f>
        <v>0</v>
      </c>
      <c r="L168" s="86"/>
      <c r="M168" s="98">
        <f>Basisgegevens!$M$13</f>
        <v>35</v>
      </c>
      <c r="N168" s="86"/>
      <c r="O168" s="81">
        <f>K168*M168</f>
        <v>0</v>
      </c>
      <c r="P168" s="99"/>
      <c r="R168" t="s">
        <v>141</v>
      </c>
    </row>
    <row r="169" spans="2:18" x14ac:dyDescent="0.25">
      <c r="B169" s="84"/>
      <c r="C169" s="85"/>
      <c r="D169" s="86" t="s">
        <v>32</v>
      </c>
      <c r="E169" s="85"/>
      <c r="F169" s="85"/>
      <c r="G169" s="85"/>
      <c r="H169" s="100" t="s">
        <v>29</v>
      </c>
      <c r="I169" s="17"/>
      <c r="J169" s="9"/>
      <c r="K169" s="87"/>
      <c r="L169" s="86"/>
      <c r="M169" s="86"/>
      <c r="N169" s="86"/>
      <c r="O169" s="86"/>
      <c r="P169" s="99"/>
    </row>
    <row r="170" spans="2:18" x14ac:dyDescent="0.25">
      <c r="B170" s="84"/>
      <c r="C170" s="85"/>
      <c r="D170" s="45" t="str">
        <f>Basisgegevens!$D$71</f>
        <v>beton infitratiebuis ø400 mm</v>
      </c>
      <c r="E170" s="85"/>
      <c r="F170" s="85"/>
      <c r="G170" s="85"/>
      <c r="H170" s="100" t="s">
        <v>29</v>
      </c>
      <c r="I170" s="90">
        <v>1</v>
      </c>
      <c r="J170" s="9"/>
      <c r="K170" s="87">
        <f>K166/I170</f>
        <v>0</v>
      </c>
      <c r="L170" s="86"/>
      <c r="M170" s="88">
        <f>Basisgegevens!$M$71</f>
        <v>87</v>
      </c>
      <c r="N170" s="86"/>
      <c r="O170" s="81">
        <f>K170*M170</f>
        <v>0</v>
      </c>
      <c r="P170" s="99"/>
    </row>
    <row r="171" spans="2:18" x14ac:dyDescent="0.25">
      <c r="B171" s="84"/>
      <c r="C171" s="85"/>
      <c r="D171" s="86" t="s">
        <v>133</v>
      </c>
      <c r="E171" s="85"/>
      <c r="F171" s="85"/>
      <c r="G171" s="85"/>
      <c r="H171" s="100" t="s">
        <v>60</v>
      </c>
      <c r="I171" s="90"/>
      <c r="J171" s="9"/>
      <c r="K171" s="87"/>
      <c r="L171" s="86"/>
      <c r="M171" s="88"/>
      <c r="N171" s="86"/>
      <c r="O171" s="81"/>
      <c r="P171" s="99"/>
    </row>
    <row r="172" spans="2:18" x14ac:dyDescent="0.25">
      <c r="B172" s="84"/>
      <c r="C172" s="85"/>
      <c r="D172" s="45" t="str">
        <f>Basisgegevens!$D$72</f>
        <v>inspectieput prefabbeton 800x800</v>
      </c>
      <c r="E172" s="85"/>
      <c r="F172" s="85"/>
      <c r="G172" s="85"/>
      <c r="H172" s="100" t="s">
        <v>60</v>
      </c>
      <c r="I172" s="97">
        <v>1</v>
      </c>
      <c r="J172" s="9"/>
      <c r="K172" s="96">
        <f>IF(K166=0,0,CEILING(K166/45+1,1))</f>
        <v>0</v>
      </c>
      <c r="L172" s="86"/>
      <c r="M172" s="88">
        <f>Basisgegevens!$M$72</f>
        <v>1000</v>
      </c>
      <c r="N172" s="86"/>
      <c r="O172" s="81">
        <f>K172*M172</f>
        <v>0</v>
      </c>
      <c r="P172" s="99"/>
    </row>
    <row r="173" spans="2:18" x14ac:dyDescent="0.25">
      <c r="B173" s="84"/>
      <c r="C173" s="85"/>
      <c r="D173" s="86" t="s">
        <v>134</v>
      </c>
      <c r="E173" s="85"/>
      <c r="F173" s="85"/>
      <c r="G173" s="85"/>
      <c r="H173" s="100" t="s">
        <v>60</v>
      </c>
      <c r="I173" s="17"/>
      <c r="J173" s="17"/>
      <c r="K173" s="17"/>
      <c r="L173" s="86"/>
      <c r="M173" s="88"/>
      <c r="N173" s="86"/>
      <c r="O173" s="81"/>
      <c r="P173" s="99"/>
    </row>
    <row r="174" spans="2:18" x14ac:dyDescent="0.25">
      <c r="B174" s="84"/>
      <c r="C174" s="85"/>
      <c r="D174" s="45" t="str">
        <f>Basisgegevens!$D$13</f>
        <v>grondwerker</v>
      </c>
      <c r="E174" s="85"/>
      <c r="F174" s="85"/>
      <c r="G174" s="85"/>
      <c r="H174" s="100" t="s">
        <v>111</v>
      </c>
      <c r="I174" s="96">
        <v>3</v>
      </c>
      <c r="J174" s="17"/>
      <c r="K174" s="96">
        <f>K175/I174</f>
        <v>0</v>
      </c>
      <c r="L174" s="86"/>
      <c r="M174" s="88">
        <f>Basisgegevens!$M$13</f>
        <v>35</v>
      </c>
      <c r="N174" s="86"/>
      <c r="O174" s="81">
        <f>K174*M174</f>
        <v>0</v>
      </c>
      <c r="P174" s="99"/>
    </row>
    <row r="175" spans="2:18" x14ac:dyDescent="0.25">
      <c r="B175" s="84"/>
      <c r="C175" s="85"/>
      <c r="D175" s="45" t="str">
        <f>Basisgegevens!$D$77</f>
        <v>knevelinlaat</v>
      </c>
      <c r="E175" s="85"/>
      <c r="F175" s="85"/>
      <c r="G175" s="85"/>
      <c r="H175" s="100" t="s">
        <v>60</v>
      </c>
      <c r="I175" s="90">
        <v>1</v>
      </c>
      <c r="J175" s="9"/>
      <c r="K175" s="96">
        <f>CEILING(K166/5,1)</f>
        <v>0</v>
      </c>
      <c r="L175" s="86"/>
      <c r="M175" s="88">
        <f>Basisgegevens!$M$77</f>
        <v>18</v>
      </c>
      <c r="N175" s="86"/>
      <c r="O175" s="81">
        <f>K175*M175</f>
        <v>0</v>
      </c>
      <c r="P175" s="99"/>
    </row>
    <row r="176" spans="2:18" x14ac:dyDescent="0.25">
      <c r="B176" s="84"/>
      <c r="C176" s="85"/>
      <c r="D176" s="45" t="str">
        <f>Basisgegevens!$D$66</f>
        <v>pvcbuis ø125 mm</v>
      </c>
      <c r="E176" s="85"/>
      <c r="F176" s="85"/>
      <c r="G176" s="85"/>
      <c r="H176" s="100" t="s">
        <v>135</v>
      </c>
      <c r="I176" s="90">
        <v>1</v>
      </c>
      <c r="J176" s="9"/>
      <c r="K176" s="96">
        <f>CEILING(K166/5,1)</f>
        <v>0</v>
      </c>
      <c r="L176" s="86"/>
      <c r="M176" s="88">
        <f>Basisgegevens!$M$66</f>
        <v>12</v>
      </c>
      <c r="N176" s="86"/>
      <c r="O176" s="81">
        <f>K176*M176</f>
        <v>0</v>
      </c>
      <c r="P176" s="99"/>
    </row>
    <row r="177" spans="2:18" x14ac:dyDescent="0.25">
      <c r="B177" s="84"/>
      <c r="C177" s="85"/>
      <c r="D177" s="45" t="str">
        <f>Basisgegevens!$D$78</f>
        <v>flexibel zetting T-stuk stroom</v>
      </c>
      <c r="E177" s="85"/>
      <c r="F177" s="85"/>
      <c r="G177" s="85"/>
      <c r="H177" s="100" t="s">
        <v>60</v>
      </c>
      <c r="I177" s="90">
        <v>1</v>
      </c>
      <c r="J177" s="9"/>
      <c r="K177" s="96">
        <f>CEILING(K166/5,1)</f>
        <v>0</v>
      </c>
      <c r="L177" s="86"/>
      <c r="M177" s="88">
        <f>Basisgegevens!$M$78</f>
        <v>25</v>
      </c>
      <c r="N177" s="86"/>
      <c r="O177" s="81">
        <f>K177*M177</f>
        <v>0</v>
      </c>
      <c r="P177" s="99"/>
    </row>
    <row r="178" spans="2:18" x14ac:dyDescent="0.25">
      <c r="B178" s="84"/>
      <c r="C178" s="85"/>
      <c r="D178" s="86" t="s">
        <v>36</v>
      </c>
      <c r="E178" s="85"/>
      <c r="F178" s="85"/>
      <c r="G178" s="85"/>
      <c r="H178" s="100" t="s">
        <v>29</v>
      </c>
      <c r="I178" s="90"/>
      <c r="J178" s="9"/>
      <c r="K178" s="87"/>
      <c r="L178" s="86"/>
      <c r="M178" s="86"/>
      <c r="N178" s="86"/>
      <c r="O178" s="86"/>
      <c r="P178" s="99"/>
    </row>
    <row r="179" spans="2:18" x14ac:dyDescent="0.25">
      <c r="B179" s="84"/>
      <c r="C179" s="85"/>
      <c r="D179" s="45" t="str">
        <f>Basisgegevens!$D$36</f>
        <v>hydraulische rupskraan 1 m³</v>
      </c>
      <c r="E179" s="85"/>
      <c r="F179" s="85"/>
      <c r="G179" s="85"/>
      <c r="H179" s="100" t="s">
        <v>111</v>
      </c>
      <c r="I179" s="90">
        <v>12</v>
      </c>
      <c r="J179" s="9"/>
      <c r="K179" s="87">
        <f>K166/I179</f>
        <v>0</v>
      </c>
      <c r="L179" s="86"/>
      <c r="M179" s="98">
        <f>Basisgegevens!$M$36</f>
        <v>70</v>
      </c>
      <c r="N179" s="86"/>
      <c r="O179" s="81">
        <f>K179*M179</f>
        <v>0</v>
      </c>
      <c r="P179" s="99"/>
    </row>
    <row r="180" spans="2:18" x14ac:dyDescent="0.25">
      <c r="B180" s="84"/>
      <c r="C180" s="85"/>
      <c r="D180" s="45" t="str">
        <f>Basisgegevens!$D$13</f>
        <v>grondwerker</v>
      </c>
      <c r="E180" s="85"/>
      <c r="F180" s="85"/>
      <c r="G180" s="85"/>
      <c r="H180" s="100" t="s">
        <v>111</v>
      </c>
      <c r="I180" s="90">
        <v>15</v>
      </c>
      <c r="J180" s="9"/>
      <c r="K180" s="87">
        <f>K166/I180</f>
        <v>0</v>
      </c>
      <c r="L180" s="86"/>
      <c r="M180" s="98">
        <f>Basisgegevens!$M$13</f>
        <v>35</v>
      </c>
      <c r="N180" s="86"/>
      <c r="O180" s="81">
        <f>K180*M180</f>
        <v>0</v>
      </c>
      <c r="P180" s="99"/>
    </row>
    <row r="181" spans="2:18" x14ac:dyDescent="0.25">
      <c r="B181" s="84"/>
      <c r="C181" s="85"/>
      <c r="D181" s="45" t="str">
        <f>Basisgegevens!$D$44</f>
        <v>explosiestamper, excl. bediening</v>
      </c>
      <c r="E181" s="85"/>
      <c r="F181" s="85"/>
      <c r="G181" s="85"/>
      <c r="H181" s="100" t="s">
        <v>122</v>
      </c>
      <c r="I181" s="90">
        <f>I179*8</f>
        <v>96</v>
      </c>
      <c r="J181" s="9"/>
      <c r="K181" s="87">
        <f>K166/I181</f>
        <v>0</v>
      </c>
      <c r="L181" s="86"/>
      <c r="M181" s="98">
        <f>Basisgegevens!$M$44</f>
        <v>10</v>
      </c>
      <c r="N181" s="86"/>
      <c r="O181" s="81">
        <f>K181*M181</f>
        <v>0</v>
      </c>
      <c r="P181" s="99"/>
    </row>
    <row r="182" spans="2:18" x14ac:dyDescent="0.25">
      <c r="B182" s="84"/>
      <c r="C182" s="85"/>
      <c r="D182" s="86" t="s">
        <v>121</v>
      </c>
      <c r="E182" s="85"/>
      <c r="F182" s="85"/>
      <c r="G182" s="85"/>
      <c r="H182" s="100" t="s">
        <v>29</v>
      </c>
      <c r="I182" s="90"/>
      <c r="J182" s="9"/>
      <c r="K182" s="87"/>
      <c r="L182" s="86"/>
      <c r="M182" s="86"/>
      <c r="N182" s="86"/>
      <c r="O182" s="86"/>
      <c r="P182" s="99"/>
    </row>
    <row r="183" spans="2:18" x14ac:dyDescent="0.25">
      <c r="B183" s="84"/>
      <c r="C183" s="85"/>
      <c r="D183" s="45" t="str">
        <f>Basisgegevens!$D$84</f>
        <v>zand voor ophoging</v>
      </c>
      <c r="E183" s="85"/>
      <c r="F183" s="85"/>
      <c r="G183" s="85"/>
      <c r="H183" s="100" t="s">
        <v>168</v>
      </c>
      <c r="I183" s="90">
        <v>1</v>
      </c>
      <c r="J183" s="9"/>
      <c r="K183" s="87">
        <f>K166*0.1*3/1.7</f>
        <v>0</v>
      </c>
      <c r="L183" s="86"/>
      <c r="M183" s="98">
        <f>Basisgegevens!$M$84</f>
        <v>5.5</v>
      </c>
      <c r="N183" s="86"/>
      <c r="O183" s="81">
        <f>K183*M183</f>
        <v>0</v>
      </c>
      <c r="P183" s="99"/>
    </row>
    <row r="184" spans="2:18" x14ac:dyDescent="0.25">
      <c r="B184" s="6"/>
      <c r="C184" s="10"/>
      <c r="D184" s="9" t="s">
        <v>37</v>
      </c>
      <c r="E184" s="10"/>
      <c r="F184" s="10"/>
      <c r="G184" s="10"/>
      <c r="H184" s="10" t="s">
        <v>29</v>
      </c>
      <c r="I184" s="79"/>
      <c r="J184" s="79"/>
      <c r="K184" s="17"/>
      <c r="L184" s="10"/>
      <c r="M184" s="81"/>
      <c r="N184" s="10"/>
      <c r="O184" s="81"/>
      <c r="P184" s="101"/>
    </row>
    <row r="185" spans="2:18" x14ac:dyDescent="0.25">
      <c r="B185" s="6"/>
      <c r="C185" s="10"/>
      <c r="D185" s="67" t="str">
        <f>Basisgegevens!$D$25</f>
        <v>vrachtauto 6x6 12 m³</v>
      </c>
      <c r="E185" s="10"/>
      <c r="F185" s="10"/>
      <c r="G185" s="10"/>
      <c r="H185" s="102" t="s">
        <v>111</v>
      </c>
      <c r="I185" s="79">
        <f>12*1.7</f>
        <v>20.399999999999999</v>
      </c>
      <c r="J185" s="79"/>
      <c r="K185" s="79">
        <f>K183/I185</f>
        <v>0</v>
      </c>
      <c r="L185" s="10"/>
      <c r="M185" s="81">
        <f>Basisgegevens!$M$25</f>
        <v>55</v>
      </c>
      <c r="N185" s="10"/>
      <c r="O185" s="81">
        <f>K185*M185</f>
        <v>0</v>
      </c>
      <c r="P185" s="101"/>
    </row>
    <row r="186" spans="2:18" x14ac:dyDescent="0.25">
      <c r="B186" s="6"/>
      <c r="C186" s="10"/>
      <c r="D186" s="67" t="str">
        <f>Basisgegevens!$D$91</f>
        <v>stortkosten schone grond</v>
      </c>
      <c r="E186" s="10"/>
      <c r="F186" s="10"/>
      <c r="G186" s="10"/>
      <c r="H186" s="10" t="s">
        <v>168</v>
      </c>
      <c r="I186" s="79">
        <v>1</v>
      </c>
      <c r="J186" s="79"/>
      <c r="K186" s="79">
        <f>K183</f>
        <v>0</v>
      </c>
      <c r="L186" s="10"/>
      <c r="M186" s="81">
        <f>Basisgegevens!$M$91</f>
        <v>3.75</v>
      </c>
      <c r="N186" s="10"/>
      <c r="O186" s="81">
        <f>K186*M186</f>
        <v>0</v>
      </c>
      <c r="P186" s="101"/>
    </row>
    <row r="187" spans="2:18" x14ac:dyDescent="0.25">
      <c r="B187" s="73"/>
      <c r="C187" s="83"/>
      <c r="D187" s="83" t="s">
        <v>22</v>
      </c>
      <c r="E187" s="83"/>
      <c r="F187" s="83"/>
      <c r="G187" s="83"/>
      <c r="H187" s="83" t="s">
        <v>29</v>
      </c>
      <c r="I187" s="80"/>
      <c r="J187" s="83"/>
      <c r="K187" s="80">
        <f>K166</f>
        <v>0</v>
      </c>
      <c r="L187" s="83"/>
      <c r="M187" s="103" t="e">
        <f>O187/K166</f>
        <v>#DIV/0!</v>
      </c>
      <c r="N187" s="83"/>
      <c r="O187" s="103">
        <f>SUM(O167:O186)</f>
        <v>0</v>
      </c>
      <c r="P187" s="104"/>
    </row>
    <row r="188" spans="2:18" ht="5.0999999999999996" customHeight="1" thickBot="1" x14ac:dyDescent="0.3">
      <c r="B188" s="12"/>
      <c r="C188" s="13"/>
      <c r="D188" s="13"/>
      <c r="E188" s="13"/>
      <c r="F188" s="13"/>
      <c r="G188" s="13"/>
      <c r="H188" s="13"/>
      <c r="I188" s="15"/>
      <c r="J188" s="13"/>
      <c r="K188" s="15"/>
      <c r="L188" s="13"/>
      <c r="M188" s="13"/>
      <c r="N188" s="13"/>
      <c r="O188" s="13"/>
      <c r="P188" s="14"/>
    </row>
    <row r="189" spans="2:18" ht="30" customHeight="1" thickBot="1" x14ac:dyDescent="0.3"/>
    <row r="190" spans="2:18" ht="5.0999999999999996" customHeight="1" x14ac:dyDescent="0.25">
      <c r="B190" s="3"/>
      <c r="C190" s="4"/>
      <c r="D190" s="4"/>
      <c r="E190" s="4"/>
      <c r="F190" s="4"/>
      <c r="G190" s="4"/>
      <c r="H190" s="55"/>
      <c r="I190" s="4"/>
      <c r="J190" s="4"/>
      <c r="K190" s="4"/>
      <c r="L190" s="4"/>
      <c r="M190" s="4"/>
      <c r="N190" s="4"/>
      <c r="O190" s="4"/>
      <c r="P190" s="5"/>
    </row>
    <row r="191" spans="2:18" x14ac:dyDescent="0.25">
      <c r="B191" s="34"/>
      <c r="C191" s="94"/>
      <c r="D191" s="36"/>
      <c r="E191" s="36"/>
      <c r="F191" s="36"/>
      <c r="G191" s="36"/>
      <c r="H191" s="36"/>
      <c r="I191" s="44"/>
      <c r="J191" s="36"/>
      <c r="K191" s="44"/>
      <c r="L191" s="36"/>
      <c r="M191" s="36"/>
      <c r="N191" s="36"/>
      <c r="O191" s="36"/>
      <c r="P191" s="37"/>
      <c r="R191" s="105" t="s">
        <v>137</v>
      </c>
    </row>
    <row r="192" spans="2:18" x14ac:dyDescent="0.25">
      <c r="B192" s="34"/>
      <c r="C192" s="35" t="s">
        <v>390</v>
      </c>
      <c r="D192" s="36"/>
      <c r="E192" s="36"/>
      <c r="F192" s="36"/>
      <c r="G192" s="36"/>
      <c r="H192"/>
      <c r="I192" s="44"/>
      <c r="K192" s="44"/>
      <c r="L192" s="36"/>
      <c r="M192" s="1"/>
      <c r="N192" s="1"/>
      <c r="O192" s="71" t="s">
        <v>62</v>
      </c>
      <c r="P192" s="37"/>
      <c r="R192" t="s">
        <v>386</v>
      </c>
    </row>
    <row r="193" spans="2:18" ht="15.75" thickBot="1" x14ac:dyDescent="0.3">
      <c r="B193" s="68"/>
      <c r="C193" s="48" t="s">
        <v>56</v>
      </c>
      <c r="D193" s="48" t="s">
        <v>55</v>
      </c>
      <c r="E193" s="50"/>
      <c r="F193" s="48"/>
      <c r="G193" s="48"/>
      <c r="H193" s="48" t="s">
        <v>107</v>
      </c>
      <c r="I193" s="78" t="s">
        <v>108</v>
      </c>
      <c r="J193" s="69"/>
      <c r="K193" s="82" t="s">
        <v>110</v>
      </c>
      <c r="L193" s="48"/>
      <c r="M193" s="48" t="s">
        <v>109</v>
      </c>
      <c r="N193" s="48"/>
      <c r="O193" s="48" t="s">
        <v>19</v>
      </c>
      <c r="P193" s="70"/>
      <c r="R193" t="s">
        <v>396</v>
      </c>
    </row>
    <row r="194" spans="2:18" x14ac:dyDescent="0.25">
      <c r="B194" s="84"/>
      <c r="C194" s="85"/>
      <c r="D194" s="86" t="s">
        <v>160</v>
      </c>
      <c r="E194" s="85"/>
      <c r="F194" s="85"/>
      <c r="G194" s="85"/>
      <c r="H194" s="86" t="s">
        <v>60</v>
      </c>
      <c r="I194" s="90"/>
      <c r="J194" s="9"/>
      <c r="K194" s="87">
        <f>SUM(Input!$G$73)</f>
        <v>0</v>
      </c>
      <c r="L194" s="86"/>
      <c r="M194" s="86"/>
      <c r="N194" s="86"/>
      <c r="O194" s="86"/>
      <c r="P194" s="99"/>
    </row>
    <row r="195" spans="2:18" x14ac:dyDescent="0.25">
      <c r="B195" s="84"/>
      <c r="C195" s="85"/>
      <c r="D195" s="45" t="str">
        <f>Basisgegevens!$D$13</f>
        <v>grondwerker</v>
      </c>
      <c r="E195" s="85"/>
      <c r="F195" s="85"/>
      <c r="G195" s="85"/>
      <c r="H195" s="86" t="s">
        <v>111</v>
      </c>
      <c r="I195" s="87">
        <v>0.25</v>
      </c>
      <c r="J195" s="9"/>
      <c r="K195" s="87">
        <f>$K$194/I195</f>
        <v>0</v>
      </c>
      <c r="L195" s="86"/>
      <c r="M195" s="98">
        <f>Basisgegevens!$M$13</f>
        <v>35</v>
      </c>
      <c r="N195" s="86"/>
      <c r="O195" s="81">
        <f>K195*M195</f>
        <v>0</v>
      </c>
      <c r="P195" s="99"/>
    </row>
    <row r="196" spans="2:18" x14ac:dyDescent="0.25">
      <c r="B196" s="84"/>
      <c r="C196" s="85"/>
      <c r="D196" s="45" t="str">
        <f>Basisgegevens!$D$16</f>
        <v>uitvoerder</v>
      </c>
      <c r="E196" s="85"/>
      <c r="F196" s="85"/>
      <c r="G196" s="85"/>
      <c r="H196" s="100" t="s">
        <v>111</v>
      </c>
      <c r="I196" s="87">
        <v>0.25</v>
      </c>
      <c r="J196" s="9"/>
      <c r="K196" s="87">
        <f>$K$194/I196</f>
        <v>0</v>
      </c>
      <c r="L196" s="86"/>
      <c r="M196" s="98">
        <f>Basisgegevens!$M$16</f>
        <v>45</v>
      </c>
      <c r="N196" s="86"/>
      <c r="O196" s="81">
        <f>K196*M196</f>
        <v>0</v>
      </c>
      <c r="P196" s="99"/>
    </row>
    <row r="197" spans="2:18" x14ac:dyDescent="0.25">
      <c r="B197" s="84"/>
      <c r="C197" s="85"/>
      <c r="D197" s="86" t="s">
        <v>163</v>
      </c>
      <c r="E197" s="85"/>
      <c r="F197" s="85"/>
      <c r="G197" s="85"/>
      <c r="H197" s="100" t="s">
        <v>29</v>
      </c>
      <c r="J197" s="9"/>
      <c r="K197" s="87"/>
      <c r="L197" s="86"/>
      <c r="M197" s="88"/>
      <c r="N197" s="86"/>
      <c r="O197" s="81"/>
      <c r="P197" s="99"/>
    </row>
    <row r="198" spans="2:18" x14ac:dyDescent="0.25">
      <c r="B198" s="84"/>
      <c r="C198" s="85"/>
      <c r="D198" s="45" t="str">
        <f>Basisgegevens!$D$58</f>
        <v>inspectiewagen, incl. bediening</v>
      </c>
      <c r="E198" s="85"/>
      <c r="F198" s="85"/>
      <c r="G198" s="85"/>
      <c r="H198" s="100" t="s">
        <v>170</v>
      </c>
      <c r="I198" s="90">
        <v>100</v>
      </c>
      <c r="J198" s="9"/>
      <c r="K198" s="96">
        <f>K194*45/I198</f>
        <v>0</v>
      </c>
      <c r="L198" s="86"/>
      <c r="M198" s="88">
        <f>Basisgegevens!$M$58</f>
        <v>1200</v>
      </c>
      <c r="N198" s="86"/>
      <c r="O198" s="81">
        <f>M198*K198</f>
        <v>0</v>
      </c>
      <c r="P198" s="99"/>
    </row>
    <row r="199" spans="2:18" x14ac:dyDescent="0.25">
      <c r="B199" s="84"/>
      <c r="C199" s="85"/>
      <c r="D199" s="86" t="s">
        <v>387</v>
      </c>
      <c r="E199" s="85"/>
      <c r="F199" s="85"/>
      <c r="G199" s="85"/>
      <c r="H199" s="100" t="s">
        <v>29</v>
      </c>
      <c r="I199" s="90"/>
      <c r="J199" s="9"/>
      <c r="K199" s="87"/>
      <c r="L199" s="86"/>
      <c r="M199" s="88"/>
      <c r="N199" s="86"/>
      <c r="O199" s="81"/>
      <c r="P199" s="99"/>
    </row>
    <row r="200" spans="2:18" x14ac:dyDescent="0.25">
      <c r="B200" s="84"/>
      <c r="C200" s="85"/>
      <c r="D200" s="45" t="str">
        <f>Basisgegevens!$D$80</f>
        <v>naaldviltenkous</v>
      </c>
      <c r="E200" s="85"/>
      <c r="F200" s="85"/>
      <c r="G200" s="85"/>
      <c r="H200" s="100" t="s">
        <v>29</v>
      </c>
      <c r="I200" s="90">
        <v>1</v>
      </c>
      <c r="J200" s="9"/>
      <c r="K200" s="87">
        <f>K194*5</f>
        <v>0</v>
      </c>
      <c r="L200" s="86"/>
      <c r="M200" s="88">
        <f>Basisgegevens!$M$80</f>
        <v>150</v>
      </c>
      <c r="N200" s="86"/>
      <c r="O200" s="81">
        <f>M200*K200</f>
        <v>0</v>
      </c>
      <c r="P200" s="99"/>
    </row>
    <row r="201" spans="2:18" x14ac:dyDescent="0.25">
      <c r="B201" s="84"/>
      <c r="C201" s="85"/>
      <c r="D201" s="86" t="s">
        <v>162</v>
      </c>
      <c r="E201" s="85"/>
      <c r="F201" s="85"/>
      <c r="G201" s="85"/>
      <c r="H201" s="86" t="s">
        <v>29</v>
      </c>
      <c r="I201" s="89"/>
      <c r="J201" s="9"/>
      <c r="K201" s="87"/>
      <c r="L201" s="86"/>
      <c r="M201" s="86"/>
      <c r="N201" s="86"/>
      <c r="O201" s="86"/>
      <c r="P201" s="99"/>
    </row>
    <row r="202" spans="2:18" x14ac:dyDescent="0.25">
      <c r="B202" s="84"/>
      <c r="C202" s="85"/>
      <c r="D202" s="45" t="str">
        <f>Basisgegevens!$D$57</f>
        <v xml:space="preserve">reinigingsset, zuig- en tankwagen incl. bediening </v>
      </c>
      <c r="E202" s="85"/>
      <c r="F202" s="85"/>
      <c r="G202" s="85"/>
      <c r="H202" s="86" t="s">
        <v>170</v>
      </c>
      <c r="I202" s="87">
        <v>600</v>
      </c>
      <c r="J202" s="9"/>
      <c r="K202" s="87">
        <f>K194*45/I202</f>
        <v>0</v>
      </c>
      <c r="L202" s="86"/>
      <c r="M202" s="98">
        <f>Basisgegevens!$M$57</f>
        <v>1200</v>
      </c>
      <c r="N202" s="86"/>
      <c r="O202" s="81">
        <f>M202*K202</f>
        <v>0</v>
      </c>
      <c r="P202" s="99"/>
    </row>
    <row r="203" spans="2:18" x14ac:dyDescent="0.25">
      <c r="B203" s="84"/>
      <c r="C203" s="85"/>
      <c r="D203" s="86" t="s">
        <v>172</v>
      </c>
      <c r="E203" s="85"/>
      <c r="F203" s="85"/>
      <c r="G203" s="85"/>
      <c r="H203" s="100" t="s">
        <v>168</v>
      </c>
      <c r="I203" s="90"/>
      <c r="J203" s="9"/>
      <c r="K203" s="87"/>
      <c r="L203" s="86"/>
      <c r="M203" s="86"/>
      <c r="N203" s="86"/>
      <c r="O203" s="86"/>
      <c r="P203" s="99"/>
    </row>
    <row r="204" spans="2:18" x14ac:dyDescent="0.25">
      <c r="B204" s="84"/>
      <c r="C204" s="85"/>
      <c r="D204" s="45" t="str">
        <f>Basisgegevens!$D$95</f>
        <v>stortkosten rioolslib</v>
      </c>
      <c r="E204" s="85"/>
      <c r="F204" s="85"/>
      <c r="G204" s="85"/>
      <c r="H204" s="100" t="s">
        <v>168</v>
      </c>
      <c r="I204" s="96">
        <v>1</v>
      </c>
      <c r="J204" s="9"/>
      <c r="K204" s="90">
        <f>K194*45*0.15*0.19/1.5</f>
        <v>0</v>
      </c>
      <c r="L204" s="86"/>
      <c r="M204" s="98">
        <f>Basisgegevens!$M$95</f>
        <v>57</v>
      </c>
      <c r="N204" s="86"/>
      <c r="O204" s="81">
        <f>M204*K204</f>
        <v>0</v>
      </c>
      <c r="P204" s="99"/>
    </row>
    <row r="205" spans="2:18" x14ac:dyDescent="0.25">
      <c r="B205" s="73"/>
      <c r="C205" s="83"/>
      <c r="D205" s="83" t="s">
        <v>22</v>
      </c>
      <c r="E205" s="83"/>
      <c r="F205" s="83"/>
      <c r="G205" s="83"/>
      <c r="H205" s="83" t="s">
        <v>29</v>
      </c>
      <c r="I205" s="80"/>
      <c r="J205" s="83"/>
      <c r="K205" s="80">
        <f>K194</f>
        <v>0</v>
      </c>
      <c r="L205" s="83"/>
      <c r="M205" s="103" t="e">
        <f>O205/K194</f>
        <v>#DIV/0!</v>
      </c>
      <c r="N205" s="83"/>
      <c r="O205" s="103">
        <f>SUM(O195:O204)</f>
        <v>0</v>
      </c>
      <c r="P205" s="104"/>
    </row>
    <row r="206" spans="2:18" ht="5.0999999999999996" customHeight="1" thickBot="1" x14ac:dyDescent="0.3">
      <c r="B206" s="12"/>
      <c r="C206" s="13"/>
      <c r="D206" s="13"/>
      <c r="E206" s="13"/>
      <c r="F206" s="13"/>
      <c r="G206" s="13"/>
      <c r="H206" s="13"/>
      <c r="I206" s="15"/>
      <c r="J206" s="13"/>
      <c r="K206" s="15"/>
      <c r="L206" s="13"/>
      <c r="M206" s="13"/>
      <c r="N206" s="13"/>
      <c r="O206" s="13"/>
      <c r="P206" s="14"/>
    </row>
    <row r="207" spans="2:18" ht="30" customHeight="1" thickBot="1" x14ac:dyDescent="0.3"/>
    <row r="208" spans="2:18" ht="5.0999999999999996" customHeight="1" x14ac:dyDescent="0.25">
      <c r="B208" s="3"/>
      <c r="C208" s="4"/>
      <c r="D208" s="4"/>
      <c r="E208" s="4"/>
      <c r="F208" s="4"/>
      <c r="G208" s="4"/>
      <c r="H208" s="55"/>
      <c r="I208" s="4"/>
      <c r="J208" s="4"/>
      <c r="K208" s="4"/>
      <c r="L208" s="4"/>
      <c r="M208" s="4"/>
      <c r="N208" s="4"/>
      <c r="O208" s="4"/>
      <c r="P208" s="5"/>
    </row>
    <row r="209" spans="2:18" x14ac:dyDescent="0.25">
      <c r="B209" s="34"/>
      <c r="C209" s="94"/>
      <c r="D209" s="36"/>
      <c r="E209" s="36"/>
      <c r="F209" s="36"/>
      <c r="G209" s="36"/>
      <c r="H209" s="36"/>
      <c r="I209" s="44"/>
      <c r="J209" s="36"/>
      <c r="K209" s="44"/>
      <c r="L209" s="36"/>
      <c r="M209" s="36"/>
      <c r="N209" s="36"/>
      <c r="O209" s="36"/>
      <c r="P209" s="37"/>
      <c r="R209" s="105" t="s">
        <v>137</v>
      </c>
    </row>
    <row r="210" spans="2:18" x14ac:dyDescent="0.25">
      <c r="B210" s="34"/>
      <c r="C210" s="35" t="s">
        <v>389</v>
      </c>
      <c r="D210" s="36"/>
      <c r="E210" s="36"/>
      <c r="F210" s="36"/>
      <c r="G210" s="36"/>
      <c r="H210"/>
      <c r="I210" s="44"/>
      <c r="K210" s="44"/>
      <c r="L210" s="36"/>
      <c r="M210" s="1"/>
      <c r="N210" s="1"/>
      <c r="O210" s="71" t="s">
        <v>62</v>
      </c>
      <c r="P210" s="37"/>
      <c r="R210" t="s">
        <v>394</v>
      </c>
    </row>
    <row r="211" spans="2:18" ht="15.75" thickBot="1" x14ac:dyDescent="0.3">
      <c r="B211" s="68"/>
      <c r="C211" s="48" t="s">
        <v>56</v>
      </c>
      <c r="D211" s="48" t="s">
        <v>55</v>
      </c>
      <c r="E211" s="50"/>
      <c r="F211" s="48"/>
      <c r="G211" s="48"/>
      <c r="H211" s="48" t="s">
        <v>107</v>
      </c>
      <c r="I211" s="78" t="s">
        <v>108</v>
      </c>
      <c r="J211" s="69"/>
      <c r="K211" s="82" t="s">
        <v>110</v>
      </c>
      <c r="L211" s="48"/>
      <c r="M211" s="48" t="s">
        <v>109</v>
      </c>
      <c r="N211" s="48"/>
      <c r="O211" s="48" t="s">
        <v>19</v>
      </c>
      <c r="P211" s="70"/>
      <c r="R211" t="s">
        <v>395</v>
      </c>
    </row>
    <row r="212" spans="2:18" x14ac:dyDescent="0.25">
      <c r="B212" s="84"/>
      <c r="C212" s="85"/>
      <c r="D212" s="86" t="s">
        <v>160</v>
      </c>
      <c r="E212" s="85"/>
      <c r="F212" s="85"/>
      <c r="G212" s="85"/>
      <c r="H212" s="86" t="s">
        <v>29</v>
      </c>
      <c r="I212" s="90"/>
      <c r="J212" s="9"/>
      <c r="K212" s="87">
        <f>Input!$I$73</f>
        <v>0</v>
      </c>
      <c r="L212" s="86"/>
      <c r="M212" s="86"/>
      <c r="N212" s="86"/>
      <c r="O212" s="86"/>
      <c r="P212" s="99"/>
      <c r="R212" t="s">
        <v>396</v>
      </c>
    </row>
    <row r="213" spans="2:18" x14ac:dyDescent="0.25">
      <c r="B213" s="84"/>
      <c r="C213" s="85"/>
      <c r="D213" s="45" t="str">
        <f>Basisgegevens!$D$13</f>
        <v>grondwerker</v>
      </c>
      <c r="E213" s="85"/>
      <c r="F213" s="85"/>
      <c r="G213" s="85"/>
      <c r="H213" s="86" t="s">
        <v>111</v>
      </c>
      <c r="I213" s="87">
        <v>6</v>
      </c>
      <c r="J213" s="9"/>
      <c r="K213" s="87">
        <f>$K$212/I213</f>
        <v>0</v>
      </c>
      <c r="L213" s="86"/>
      <c r="M213" s="98">
        <f>Basisgegevens!$M$13</f>
        <v>35</v>
      </c>
      <c r="N213" s="86"/>
      <c r="O213" s="81">
        <f>K213*M213</f>
        <v>0</v>
      </c>
      <c r="P213" s="99"/>
    </row>
    <row r="214" spans="2:18" x14ac:dyDescent="0.25">
      <c r="B214" s="84"/>
      <c r="C214" s="85"/>
      <c r="D214" s="45" t="str">
        <f>Basisgegevens!$D$16</f>
        <v>uitvoerder</v>
      </c>
      <c r="E214" s="85"/>
      <c r="F214" s="85"/>
      <c r="G214" s="85"/>
      <c r="H214" s="100" t="s">
        <v>111</v>
      </c>
      <c r="I214" s="87">
        <v>6</v>
      </c>
      <c r="J214" s="9"/>
      <c r="K214" s="87">
        <f>$K$212/I214</f>
        <v>0</v>
      </c>
      <c r="L214" s="86"/>
      <c r="M214" s="98">
        <f>Basisgegevens!$M$16</f>
        <v>45</v>
      </c>
      <c r="N214" s="86"/>
      <c r="O214" s="81">
        <f>K214*M214</f>
        <v>0</v>
      </c>
      <c r="P214" s="99"/>
    </row>
    <row r="215" spans="2:18" x14ac:dyDescent="0.25">
      <c r="B215" s="84"/>
      <c r="C215" s="85"/>
      <c r="D215" s="86" t="s">
        <v>163</v>
      </c>
      <c r="E215" s="85"/>
      <c r="F215" s="85"/>
      <c r="G215" s="85"/>
      <c r="H215" s="100" t="s">
        <v>29</v>
      </c>
      <c r="J215" s="9"/>
      <c r="K215" s="87"/>
      <c r="L215" s="86"/>
      <c r="M215" s="88"/>
      <c r="N215" s="86"/>
      <c r="O215" s="81"/>
      <c r="P215" s="99"/>
    </row>
    <row r="216" spans="2:18" x14ac:dyDescent="0.25">
      <c r="B216" s="84"/>
      <c r="C216" s="85"/>
      <c r="D216" s="45" t="str">
        <f>Basisgegevens!$D$58</f>
        <v>inspectiewagen, incl. bediening</v>
      </c>
      <c r="E216" s="85"/>
      <c r="F216" s="85"/>
      <c r="G216" s="85"/>
      <c r="H216" s="100" t="s">
        <v>170</v>
      </c>
      <c r="I216" s="90">
        <v>200</v>
      </c>
      <c r="J216" s="9"/>
      <c r="K216" s="96">
        <f>K212/I216</f>
        <v>0</v>
      </c>
      <c r="L216" s="86"/>
      <c r="M216" s="88">
        <f>Basisgegevens!$M$58</f>
        <v>1200</v>
      </c>
      <c r="N216" s="86"/>
      <c r="O216" s="81">
        <f>M216*K216</f>
        <v>0</v>
      </c>
      <c r="P216" s="99"/>
    </row>
    <row r="217" spans="2:18" x14ac:dyDescent="0.25">
      <c r="B217" s="84"/>
      <c r="C217" s="85"/>
      <c r="D217" s="86" t="s">
        <v>387</v>
      </c>
      <c r="E217" s="85"/>
      <c r="F217" s="85"/>
      <c r="G217" s="85"/>
      <c r="H217" s="100" t="s">
        <v>29</v>
      </c>
      <c r="I217" s="90"/>
      <c r="J217" s="9"/>
      <c r="K217" s="87"/>
      <c r="L217" s="86"/>
      <c r="M217" s="88"/>
      <c r="N217" s="86"/>
      <c r="O217" s="81"/>
      <c r="P217" s="99"/>
    </row>
    <row r="218" spans="2:18" x14ac:dyDescent="0.25">
      <c r="B218" s="84"/>
      <c r="C218" s="85"/>
      <c r="D218" s="45" t="str">
        <f>Basisgegevens!$D$80</f>
        <v>naaldviltenkous</v>
      </c>
      <c r="E218" s="85"/>
      <c r="F218" s="85"/>
      <c r="G218" s="85"/>
      <c r="H218" s="100" t="s">
        <v>29</v>
      </c>
      <c r="I218" s="90">
        <v>1</v>
      </c>
      <c r="J218" s="9"/>
      <c r="K218" s="87">
        <f>K212</f>
        <v>0</v>
      </c>
      <c r="L218" s="86"/>
      <c r="M218" s="88">
        <f>Basisgegevens!$M$80</f>
        <v>150</v>
      </c>
      <c r="N218" s="86"/>
      <c r="O218" s="81">
        <f>M218*K218</f>
        <v>0</v>
      </c>
      <c r="P218" s="99"/>
    </row>
    <row r="219" spans="2:18" x14ac:dyDescent="0.25">
      <c r="B219" s="84"/>
      <c r="C219" s="85"/>
      <c r="D219" s="86" t="s">
        <v>162</v>
      </c>
      <c r="E219" s="85"/>
      <c r="F219" s="85"/>
      <c r="G219" s="85"/>
      <c r="H219" s="86" t="s">
        <v>29</v>
      </c>
      <c r="I219" s="89"/>
      <c r="J219" s="9"/>
      <c r="K219" s="87"/>
      <c r="L219" s="86"/>
      <c r="M219" s="86"/>
      <c r="N219" s="86"/>
      <c r="O219" s="86"/>
      <c r="P219" s="99"/>
    </row>
    <row r="220" spans="2:18" x14ac:dyDescent="0.25">
      <c r="B220" s="84"/>
      <c r="C220" s="85"/>
      <c r="D220" s="45" t="str">
        <f>Basisgegevens!$D$57</f>
        <v xml:space="preserve">reinigingsset, zuig- en tankwagen incl. bediening </v>
      </c>
      <c r="E220" s="85"/>
      <c r="F220" s="85"/>
      <c r="G220" s="85"/>
      <c r="H220" s="86" t="s">
        <v>170</v>
      </c>
      <c r="I220" s="87">
        <v>600</v>
      </c>
      <c r="J220" s="9"/>
      <c r="K220" s="87">
        <f>K212/I220</f>
        <v>0</v>
      </c>
      <c r="L220" s="86"/>
      <c r="M220" s="98">
        <f>Basisgegevens!$M$57</f>
        <v>1200</v>
      </c>
      <c r="N220" s="86"/>
      <c r="O220" s="81">
        <f>M220*K220</f>
        <v>0</v>
      </c>
      <c r="P220" s="99"/>
    </row>
    <row r="221" spans="2:18" x14ac:dyDescent="0.25">
      <c r="B221" s="84"/>
      <c r="C221" s="85"/>
      <c r="D221" s="86" t="s">
        <v>172</v>
      </c>
      <c r="E221" s="85"/>
      <c r="F221" s="85"/>
      <c r="G221" s="85"/>
      <c r="H221" s="100" t="s">
        <v>168</v>
      </c>
      <c r="I221" s="90"/>
      <c r="J221" s="9"/>
      <c r="K221" s="87"/>
      <c r="L221" s="86"/>
      <c r="M221" s="86"/>
      <c r="N221" s="86"/>
      <c r="O221" s="86"/>
      <c r="P221" s="99"/>
    </row>
    <row r="222" spans="2:18" x14ac:dyDescent="0.25">
      <c r="B222" s="84"/>
      <c r="C222" s="85"/>
      <c r="D222" s="45" t="str">
        <f>Basisgegevens!$D$95</f>
        <v>stortkosten rioolslib</v>
      </c>
      <c r="E222" s="85"/>
      <c r="F222" s="85"/>
      <c r="G222" s="85"/>
      <c r="H222" s="100" t="s">
        <v>168</v>
      </c>
      <c r="I222" s="96">
        <v>1</v>
      </c>
      <c r="J222" s="9"/>
      <c r="K222" s="90">
        <f>K212*45*0.15*0.19/1.5</f>
        <v>0</v>
      </c>
      <c r="L222" s="86"/>
      <c r="M222" s="98">
        <f>Basisgegevens!$M$95</f>
        <v>57</v>
      </c>
      <c r="N222" s="86"/>
      <c r="O222" s="81">
        <f>M222*K222</f>
        <v>0</v>
      </c>
      <c r="P222" s="99"/>
    </row>
    <row r="223" spans="2:18" x14ac:dyDescent="0.25">
      <c r="B223" s="73"/>
      <c r="C223" s="83"/>
      <c r="D223" s="83" t="s">
        <v>22</v>
      </c>
      <c r="E223" s="83"/>
      <c r="F223" s="83"/>
      <c r="G223" s="83"/>
      <c r="H223" s="83" t="s">
        <v>29</v>
      </c>
      <c r="I223" s="80"/>
      <c r="J223" s="83"/>
      <c r="K223" s="80">
        <f>K212</f>
        <v>0</v>
      </c>
      <c r="L223" s="83"/>
      <c r="M223" s="103" t="e">
        <f>O223/K212</f>
        <v>#DIV/0!</v>
      </c>
      <c r="N223" s="83"/>
      <c r="O223" s="103">
        <f>SUM(O213:O222)</f>
        <v>0</v>
      </c>
      <c r="P223" s="104"/>
    </row>
    <row r="224" spans="2:18" ht="5.0999999999999996" customHeight="1" thickBot="1" x14ac:dyDescent="0.3">
      <c r="B224" s="12"/>
      <c r="C224" s="13"/>
      <c r="D224" s="13"/>
      <c r="E224" s="13"/>
      <c r="F224" s="13"/>
      <c r="G224" s="13"/>
      <c r="H224" s="13"/>
      <c r="I224" s="15"/>
      <c r="J224" s="13"/>
      <c r="K224" s="15"/>
      <c r="L224" s="13"/>
      <c r="M224" s="13"/>
      <c r="N224" s="13"/>
      <c r="O224" s="13"/>
      <c r="P224" s="14"/>
    </row>
    <row r="225" spans="2:18" ht="30" customHeight="1" thickBot="1" x14ac:dyDescent="0.3"/>
    <row r="226" spans="2:18" ht="5.0999999999999996" customHeight="1" x14ac:dyDescent="0.25">
      <c r="B226" s="3"/>
      <c r="C226" s="4"/>
      <c r="D226" s="4"/>
      <c r="E226" s="4"/>
      <c r="F226" s="4"/>
      <c r="G226" s="4"/>
      <c r="H226" s="55"/>
      <c r="I226" s="4"/>
      <c r="J226" s="4"/>
      <c r="K226" s="4"/>
      <c r="L226" s="4"/>
      <c r="M226" s="4"/>
      <c r="N226" s="4"/>
      <c r="O226" s="4"/>
      <c r="P226" s="5"/>
    </row>
    <row r="227" spans="2:18" x14ac:dyDescent="0.25">
      <c r="B227" s="34"/>
      <c r="C227" s="94"/>
      <c r="D227" s="36"/>
      <c r="E227" s="36"/>
      <c r="F227" s="36"/>
      <c r="G227" s="36"/>
      <c r="H227" s="36"/>
      <c r="I227" s="44"/>
      <c r="J227" s="36"/>
      <c r="K227" s="44"/>
      <c r="L227" s="36"/>
      <c r="M227" s="36"/>
      <c r="N227" s="36"/>
      <c r="O227" s="36"/>
      <c r="P227" s="37"/>
      <c r="R227" s="105" t="s">
        <v>137</v>
      </c>
    </row>
    <row r="228" spans="2:18" x14ac:dyDescent="0.25">
      <c r="B228" s="34"/>
      <c r="C228" s="35" t="s">
        <v>161</v>
      </c>
      <c r="D228" s="36"/>
      <c r="E228" s="36"/>
      <c r="F228" s="36"/>
      <c r="G228" s="36"/>
      <c r="H228"/>
      <c r="I228" s="44"/>
      <c r="K228" s="44"/>
      <c r="L228" s="36"/>
      <c r="M228" s="1"/>
      <c r="N228" s="1"/>
      <c r="O228" s="71" t="s">
        <v>62</v>
      </c>
      <c r="P228" s="37"/>
      <c r="R228" t="s">
        <v>174</v>
      </c>
    </row>
    <row r="229" spans="2:18" ht="15.75" thickBot="1" x14ac:dyDescent="0.3">
      <c r="B229" s="68"/>
      <c r="C229" s="48" t="s">
        <v>56</v>
      </c>
      <c r="D229" s="48" t="s">
        <v>55</v>
      </c>
      <c r="E229" s="50"/>
      <c r="F229" s="48"/>
      <c r="G229" s="48"/>
      <c r="H229" s="48" t="s">
        <v>107</v>
      </c>
      <c r="I229" s="78" t="s">
        <v>108</v>
      </c>
      <c r="J229" s="69"/>
      <c r="K229" s="82" t="s">
        <v>110</v>
      </c>
      <c r="L229" s="48"/>
      <c r="M229" s="48" t="s">
        <v>109</v>
      </c>
      <c r="N229" s="48"/>
      <c r="O229" s="48" t="s">
        <v>19</v>
      </c>
      <c r="P229" s="70"/>
      <c r="R229" t="s">
        <v>176</v>
      </c>
    </row>
    <row r="230" spans="2:18" x14ac:dyDescent="0.25">
      <c r="B230" s="84"/>
      <c r="C230" s="85"/>
      <c r="D230" s="86" t="s">
        <v>162</v>
      </c>
      <c r="E230" s="85"/>
      <c r="F230" s="85"/>
      <c r="G230" s="85"/>
      <c r="H230" s="86" t="s">
        <v>29</v>
      </c>
      <c r="I230" s="89"/>
      <c r="J230" s="9"/>
      <c r="K230" s="87">
        <f>SUM(Input!G67,Input!I67,Input!K67,Input!M67,Input!G69)</f>
        <v>0</v>
      </c>
      <c r="L230" s="86"/>
      <c r="M230" s="86"/>
      <c r="N230" s="86"/>
      <c r="O230" s="86"/>
      <c r="P230" s="99"/>
    </row>
    <row r="231" spans="2:18" x14ac:dyDescent="0.25">
      <c r="B231" s="84"/>
      <c r="C231" s="85"/>
      <c r="D231" s="45" t="str">
        <f>Basisgegevens!D57</f>
        <v xml:space="preserve">reinigingsset, zuig- en tankwagen incl. bediening </v>
      </c>
      <c r="E231" s="85"/>
      <c r="F231" s="85"/>
      <c r="G231" s="85"/>
      <c r="H231" s="86" t="s">
        <v>170</v>
      </c>
      <c r="I231" s="87">
        <v>1200</v>
      </c>
      <c r="J231" s="9"/>
      <c r="K231" s="87">
        <f>K230/I231</f>
        <v>0</v>
      </c>
      <c r="L231" s="86"/>
      <c r="M231" s="98">
        <f>Basisgegevens!$M$57</f>
        <v>1200</v>
      </c>
      <c r="N231" s="86"/>
      <c r="O231" s="81">
        <f>M231*K231</f>
        <v>0</v>
      </c>
      <c r="P231" s="99"/>
    </row>
    <row r="232" spans="2:18" x14ac:dyDescent="0.25">
      <c r="B232" s="84"/>
      <c r="C232" s="85"/>
      <c r="D232" s="86" t="s">
        <v>163</v>
      </c>
      <c r="E232" s="85"/>
      <c r="F232" s="85"/>
      <c r="G232" s="85"/>
      <c r="H232" s="100" t="s">
        <v>29</v>
      </c>
      <c r="J232" s="9"/>
      <c r="K232" s="87"/>
      <c r="L232" s="86"/>
      <c r="M232" s="88"/>
      <c r="N232" s="86"/>
      <c r="O232" s="81"/>
      <c r="P232" s="99"/>
    </row>
    <row r="233" spans="2:18" x14ac:dyDescent="0.25">
      <c r="B233" s="84"/>
      <c r="C233" s="85"/>
      <c r="D233" s="45" t="str">
        <f>Basisgegevens!D58</f>
        <v>inspectiewagen, incl. bediening</v>
      </c>
      <c r="E233" s="85"/>
      <c r="F233" s="85"/>
      <c r="G233" s="85"/>
      <c r="H233" s="100" t="s">
        <v>170</v>
      </c>
      <c r="I233" s="90">
        <v>700</v>
      </c>
      <c r="J233" s="9"/>
      <c r="K233" s="96">
        <f>K230/I233</f>
        <v>0</v>
      </c>
      <c r="L233" s="86"/>
      <c r="M233" s="88">
        <f>Basisgegevens!$M$58</f>
        <v>1200</v>
      </c>
      <c r="N233" s="86"/>
      <c r="O233" s="81">
        <f>M233*K233</f>
        <v>0</v>
      </c>
      <c r="P233" s="99"/>
    </row>
    <row r="234" spans="2:18" x14ac:dyDescent="0.25">
      <c r="B234" s="84"/>
      <c r="C234" s="85"/>
      <c r="D234" s="86" t="s">
        <v>172</v>
      </c>
      <c r="E234" s="85"/>
      <c r="F234" s="85"/>
      <c r="G234" s="85"/>
      <c r="H234" s="100" t="s">
        <v>168</v>
      </c>
      <c r="I234" s="90"/>
      <c r="J234" s="9"/>
      <c r="K234" s="87"/>
      <c r="L234" s="86"/>
      <c r="M234" s="86"/>
      <c r="N234" s="86"/>
      <c r="O234" s="86"/>
      <c r="P234" s="99"/>
    </row>
    <row r="235" spans="2:18" x14ac:dyDescent="0.25">
      <c r="B235" s="84"/>
      <c r="C235" s="85"/>
      <c r="D235" s="45" t="str">
        <f>Basisgegevens!D95</f>
        <v>stortkosten rioolslib</v>
      </c>
      <c r="E235" s="85"/>
      <c r="F235" s="85"/>
      <c r="G235" s="85"/>
      <c r="H235" s="100" t="s">
        <v>168</v>
      </c>
      <c r="I235" s="96">
        <v>1</v>
      </c>
      <c r="J235" s="9"/>
      <c r="K235" s="90">
        <f>K230*0.05*0.25/1.5</f>
        <v>0</v>
      </c>
      <c r="L235" s="86"/>
      <c r="M235" s="98">
        <f>Basisgegevens!$M$95</f>
        <v>57</v>
      </c>
      <c r="N235" s="86"/>
      <c r="O235" s="81">
        <f>M235*K235</f>
        <v>0</v>
      </c>
      <c r="P235" s="99"/>
    </row>
    <row r="236" spans="2:18" x14ac:dyDescent="0.25">
      <c r="B236" s="73"/>
      <c r="C236" s="83"/>
      <c r="D236" s="83" t="s">
        <v>22</v>
      </c>
      <c r="E236" s="83"/>
      <c r="F236" s="83"/>
      <c r="G236" s="83"/>
      <c r="H236" s="83" t="s">
        <v>29</v>
      </c>
      <c r="I236" s="80"/>
      <c r="J236" s="83"/>
      <c r="K236" s="80">
        <f>K230</f>
        <v>0</v>
      </c>
      <c r="L236" s="83"/>
      <c r="M236" s="103" t="e">
        <f>O236/K230</f>
        <v>#DIV/0!</v>
      </c>
      <c r="N236" s="83"/>
      <c r="O236" s="103">
        <f>SUM(O231:O235)</f>
        <v>0</v>
      </c>
      <c r="P236" s="104"/>
    </row>
    <row r="237" spans="2:18" ht="5.0999999999999996" customHeight="1" thickBot="1" x14ac:dyDescent="0.3">
      <c r="B237" s="12"/>
      <c r="C237" s="13"/>
      <c r="D237" s="13"/>
      <c r="E237" s="13"/>
      <c r="F237" s="13"/>
      <c r="G237" s="13"/>
      <c r="H237" s="13"/>
      <c r="I237" s="15"/>
      <c r="J237" s="13"/>
      <c r="K237" s="15"/>
      <c r="L237" s="13"/>
      <c r="M237" s="13"/>
      <c r="N237" s="13"/>
      <c r="O237" s="13"/>
      <c r="P237" s="14"/>
    </row>
    <row r="238" spans="2:18" ht="30" customHeight="1" thickBot="1" x14ac:dyDescent="0.3"/>
    <row r="239" spans="2:18" ht="5.0999999999999996" customHeight="1" x14ac:dyDescent="0.25">
      <c r="B239" s="3"/>
      <c r="C239" s="4"/>
      <c r="D239" s="4"/>
      <c r="E239" s="4"/>
      <c r="F239" s="4"/>
      <c r="G239" s="4"/>
      <c r="H239" s="55"/>
      <c r="I239" s="4"/>
      <c r="J239" s="4"/>
      <c r="K239" s="4"/>
      <c r="L239" s="4"/>
      <c r="M239" s="4"/>
      <c r="N239" s="4"/>
      <c r="O239" s="4"/>
      <c r="P239" s="5"/>
    </row>
    <row r="240" spans="2:18" x14ac:dyDescent="0.25">
      <c r="B240" s="34"/>
      <c r="C240" s="94"/>
      <c r="D240" s="36"/>
      <c r="E240" s="36"/>
      <c r="F240" s="36"/>
      <c r="G240" s="36"/>
      <c r="H240" s="36"/>
      <c r="I240" s="44"/>
      <c r="J240" s="36"/>
      <c r="K240" s="44"/>
      <c r="L240" s="36"/>
      <c r="M240" s="36"/>
      <c r="N240" s="36"/>
      <c r="O240" s="36"/>
      <c r="P240" s="37"/>
      <c r="R240" s="105" t="s">
        <v>137</v>
      </c>
    </row>
    <row r="241" spans="2:18" x14ac:dyDescent="0.25">
      <c r="B241" s="34"/>
      <c r="C241" s="35" t="s">
        <v>479</v>
      </c>
      <c r="D241" s="36"/>
      <c r="E241" s="36"/>
      <c r="F241" s="36"/>
      <c r="G241" s="36"/>
      <c r="H241"/>
      <c r="I241" s="44"/>
      <c r="K241" s="44"/>
      <c r="L241" s="36"/>
      <c r="M241" s="1"/>
      <c r="N241" s="1"/>
      <c r="O241" s="71" t="s">
        <v>62</v>
      </c>
      <c r="P241" s="37"/>
      <c r="R241" t="s">
        <v>480</v>
      </c>
    </row>
    <row r="242" spans="2:18" ht="15.75" thickBot="1" x14ac:dyDescent="0.3">
      <c r="B242" s="68"/>
      <c r="C242" s="48" t="s">
        <v>56</v>
      </c>
      <c r="D242" s="48" t="s">
        <v>55</v>
      </c>
      <c r="E242" s="50"/>
      <c r="F242" s="48"/>
      <c r="G242" s="48"/>
      <c r="H242" s="48" t="s">
        <v>107</v>
      </c>
      <c r="I242" s="78" t="s">
        <v>108</v>
      </c>
      <c r="J242" s="69"/>
      <c r="K242" s="82" t="s">
        <v>110</v>
      </c>
      <c r="L242" s="48"/>
      <c r="M242" s="48" t="s">
        <v>109</v>
      </c>
      <c r="N242" s="48"/>
      <c r="O242" s="48" t="s">
        <v>19</v>
      </c>
      <c r="P242" s="70"/>
    </row>
    <row r="243" spans="2:18" x14ac:dyDescent="0.25">
      <c r="B243" s="84"/>
      <c r="C243" s="85"/>
      <c r="D243" s="86" t="s">
        <v>481</v>
      </c>
      <c r="E243" s="85"/>
      <c r="F243" s="85"/>
      <c r="G243" s="85"/>
      <c r="H243" s="86" t="s">
        <v>60</v>
      </c>
      <c r="I243" s="89"/>
      <c r="J243" s="9"/>
      <c r="K243" s="87">
        <f>Input!G71</f>
        <v>0</v>
      </c>
      <c r="L243" s="86"/>
      <c r="M243" s="86"/>
      <c r="N243" s="86"/>
      <c r="O243" s="86"/>
      <c r="P243" s="99"/>
    </row>
    <row r="244" spans="2:18" x14ac:dyDescent="0.25">
      <c r="B244" s="84"/>
      <c r="C244" s="85"/>
      <c r="D244" s="45" t="str">
        <f>Basisgegevens!$D$35</f>
        <v>hydraulische kraan 800 liter</v>
      </c>
      <c r="E244" s="85"/>
      <c r="F244" s="85"/>
      <c r="G244" s="85"/>
      <c r="H244" s="86" t="s">
        <v>111</v>
      </c>
      <c r="I244" s="87">
        <v>2</v>
      </c>
      <c r="J244" s="9"/>
      <c r="K244" s="87">
        <f>K243/I244</f>
        <v>0</v>
      </c>
      <c r="L244" s="86"/>
      <c r="M244" s="98">
        <f>Basisgegevens!$M$36</f>
        <v>70</v>
      </c>
      <c r="N244" s="86"/>
      <c r="O244" s="81">
        <f>K244*M244</f>
        <v>0</v>
      </c>
      <c r="P244" s="99"/>
    </row>
    <row r="245" spans="2:18" x14ac:dyDescent="0.25">
      <c r="B245" s="84"/>
      <c r="C245" s="85"/>
      <c r="D245" s="45" t="str">
        <f>Basisgegevens!$D$13</f>
        <v>grondwerker</v>
      </c>
      <c r="E245" s="85"/>
      <c r="F245" s="85"/>
      <c r="G245" s="85"/>
      <c r="H245" s="100" t="s">
        <v>111</v>
      </c>
      <c r="I245" s="90">
        <v>2</v>
      </c>
      <c r="J245" s="9"/>
      <c r="K245" s="87">
        <f>K243/I245</f>
        <v>0</v>
      </c>
      <c r="L245" s="86"/>
      <c r="M245" s="98">
        <f>Basisgegevens!$M$13</f>
        <v>35</v>
      </c>
      <c r="N245" s="86"/>
      <c r="O245" s="81">
        <f>K245*M245</f>
        <v>0</v>
      </c>
      <c r="P245" s="99"/>
    </row>
    <row r="246" spans="2:18" x14ac:dyDescent="0.25">
      <c r="B246" s="84"/>
      <c r="C246" s="85"/>
      <c r="D246" s="86" t="s">
        <v>482</v>
      </c>
      <c r="E246" s="85"/>
      <c r="F246" s="85"/>
      <c r="G246" s="85"/>
      <c r="H246" s="100"/>
      <c r="I246" s="17"/>
      <c r="J246" s="9"/>
      <c r="K246" s="87"/>
      <c r="L246" s="86"/>
      <c r="M246" s="86"/>
      <c r="N246" s="86"/>
      <c r="O246" s="86"/>
      <c r="P246" s="99"/>
    </row>
    <row r="247" spans="2:18" x14ac:dyDescent="0.25">
      <c r="B247" s="84"/>
      <c r="C247" s="85"/>
      <c r="D247" s="45" t="str">
        <f>Basisgegevens!$D$76</f>
        <v>trottoirkolk</v>
      </c>
      <c r="E247" s="85"/>
      <c r="F247" s="85"/>
      <c r="G247" s="85"/>
      <c r="H247" s="100" t="s">
        <v>60</v>
      </c>
      <c r="I247" s="96">
        <v>1</v>
      </c>
      <c r="J247" s="9"/>
      <c r="K247" s="87">
        <f>I247*K243</f>
        <v>0</v>
      </c>
      <c r="L247" s="86"/>
      <c r="M247" s="98">
        <v>135</v>
      </c>
      <c r="N247" s="86"/>
      <c r="O247" s="81">
        <f>K247*M247</f>
        <v>0</v>
      </c>
      <c r="P247" s="99"/>
    </row>
    <row r="248" spans="2:18" x14ac:dyDescent="0.25">
      <c r="B248" s="84"/>
      <c r="C248" s="85"/>
      <c r="D248" s="86" t="s">
        <v>483</v>
      </c>
      <c r="E248" s="85"/>
      <c r="F248" s="85"/>
      <c r="G248" s="85"/>
      <c r="L248" s="86"/>
      <c r="M248" s="86"/>
      <c r="N248" s="86"/>
      <c r="O248" s="86"/>
      <c r="P248" s="99"/>
    </row>
    <row r="249" spans="2:18" x14ac:dyDescent="0.25">
      <c r="B249" s="84"/>
      <c r="C249" s="85"/>
      <c r="D249" s="16" t="str">
        <f>Basisgegevens!D79</f>
        <v>hulpstuk</v>
      </c>
      <c r="E249" s="85"/>
      <c r="F249" s="85"/>
      <c r="G249" s="85"/>
      <c r="H249" s="100" t="s">
        <v>60</v>
      </c>
      <c r="I249" s="96">
        <v>3</v>
      </c>
      <c r="J249" s="9"/>
      <c r="K249" s="87">
        <f>I249*K243</f>
        <v>0</v>
      </c>
      <c r="L249" s="86"/>
      <c r="M249" s="98">
        <f>Basisgegevens!M79</f>
        <v>10</v>
      </c>
      <c r="N249" s="86"/>
      <c r="O249" s="98">
        <f>M249*K249</f>
        <v>0</v>
      </c>
      <c r="P249" s="99"/>
    </row>
    <row r="250" spans="2:18" x14ac:dyDescent="0.25">
      <c r="B250" s="73"/>
      <c r="C250" s="83"/>
      <c r="D250" s="83" t="s">
        <v>22</v>
      </c>
      <c r="E250" s="83"/>
      <c r="F250" s="83"/>
      <c r="G250" s="83"/>
      <c r="H250" s="83" t="s">
        <v>29</v>
      </c>
      <c r="I250" s="80"/>
      <c r="J250" s="83"/>
      <c r="K250" s="80">
        <f>K243</f>
        <v>0</v>
      </c>
      <c r="L250" s="83"/>
      <c r="M250" s="103" t="e">
        <f>O250/K243</f>
        <v>#DIV/0!</v>
      </c>
      <c r="N250" s="83"/>
      <c r="O250" s="103">
        <f>SUM(O244:O249)</f>
        <v>0</v>
      </c>
      <c r="P250" s="104"/>
    </row>
    <row r="251" spans="2:18" ht="5.0999999999999996" customHeight="1" thickBot="1" x14ac:dyDescent="0.3">
      <c r="B251" s="12"/>
      <c r="C251" s="13"/>
      <c r="D251" s="13"/>
      <c r="E251" s="13"/>
      <c r="F251" s="13"/>
      <c r="G251" s="13"/>
      <c r="H251" s="13"/>
      <c r="I251" s="15"/>
      <c r="J251" s="13"/>
      <c r="K251" s="15"/>
      <c r="L251" s="13"/>
      <c r="M251" s="13"/>
      <c r="N251" s="13"/>
      <c r="O251" s="13"/>
      <c r="P251" s="14"/>
    </row>
  </sheetData>
  <sheetProtection selectLockedCells="1" selectUnlockedCells="1"/>
  <mergeCells count="1">
    <mergeCell ref="D6:E6"/>
  </mergeCells>
  <phoneticPr fontId="0" type="noConversion"/>
  <printOptions horizontalCentered="1"/>
  <pageMargins left="0.78740157480314965" right="0.59055118110236227" top="0.98425196850393704" bottom="0.98425196850393704" header="0.51181102362204722" footer="0.51181102362204722"/>
  <pageSetup paperSize="9" scale="85" orientation="portrait" r:id="rId1"/>
  <headerFooter alignWithMargins="0">
    <oddFooter>&amp;L&amp;G
projectnummer: 0509&amp;Rconcept: 11 april 2007
blad &amp;P van &amp;N</oddFooter>
  </headerFooter>
  <rowBreaks count="2" manualBreakCount="2">
    <brk id="48" min="1" max="15" man="1"/>
    <brk id="206" min="1" max="15" man="1"/>
  </rowBreak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B1:R78"/>
  <sheetViews>
    <sheetView showGridLines="0" zoomScaleNormal="100" zoomScaleSheetLayoutView="100" workbookViewId="0">
      <selection activeCell="Q6" sqref="Q6"/>
    </sheetView>
  </sheetViews>
  <sheetFormatPr defaultRowHeight="15" x14ac:dyDescent="0.25"/>
  <cols>
    <col min="1" max="1" width="2.7109375" customWidth="1"/>
    <col min="2" max="2" width="1.7109375" customWidth="1"/>
    <col min="3" max="5" width="8.7109375" customWidth="1"/>
    <col min="6" max="7" width="5.7109375" customWidth="1"/>
    <col min="8" max="8" width="10.7109375" customWidth="1"/>
    <col min="9" max="9" width="7.7109375" style="17" bestFit="1" customWidth="1"/>
    <col min="10" max="10" width="2.7109375" customWidth="1"/>
    <col min="11" max="11" width="10.7109375" style="17" customWidth="1"/>
    <col min="12" max="12" width="2.7109375" customWidth="1"/>
    <col min="13" max="13" width="15.7109375" customWidth="1"/>
    <col min="14" max="14" width="5.7109375" customWidth="1"/>
    <col min="15" max="15" width="15.7109375" customWidth="1"/>
    <col min="16" max="16" width="1.7109375" customWidth="1"/>
    <col min="17" max="17" width="9.42578125" bestFit="1" customWidth="1"/>
  </cols>
  <sheetData>
    <row r="1" spans="2:18" ht="15.75" thickBot="1" x14ac:dyDescent="0.3"/>
    <row r="2" spans="2:18" ht="5.0999999999999996" customHeight="1" x14ac:dyDescent="0.25">
      <c r="B2" s="3"/>
      <c r="C2" s="4"/>
      <c r="D2" s="4"/>
      <c r="E2" s="4"/>
      <c r="F2" s="4"/>
      <c r="G2" s="4"/>
      <c r="H2" s="4"/>
      <c r="I2" s="4"/>
      <c r="J2" s="107"/>
      <c r="K2" s="4"/>
      <c r="L2" s="4"/>
      <c r="M2" s="4"/>
      <c r="N2" s="4"/>
      <c r="O2" s="4"/>
      <c r="P2" s="5"/>
    </row>
    <row r="3" spans="2:18" ht="18.75" x14ac:dyDescent="0.3">
      <c r="B3" s="6"/>
      <c r="C3" s="116" t="s">
        <v>299</v>
      </c>
      <c r="D3" s="116"/>
      <c r="E3" s="116"/>
      <c r="F3" s="116"/>
      <c r="G3" s="116"/>
      <c r="I3"/>
      <c r="J3" s="106"/>
      <c r="K3"/>
      <c r="P3" s="8"/>
    </row>
    <row r="4" spans="2:18" x14ac:dyDescent="0.25">
      <c r="B4" s="6"/>
      <c r="C4" s="28" t="s">
        <v>27</v>
      </c>
      <c r="D4" s="28"/>
      <c r="E4" s="28"/>
      <c r="F4" s="28"/>
      <c r="G4" s="28"/>
      <c r="H4" s="28"/>
      <c r="I4" s="28"/>
      <c r="J4" s="28"/>
      <c r="K4" s="28"/>
      <c r="P4" s="8"/>
    </row>
    <row r="5" spans="2:18" ht="18.75" x14ac:dyDescent="0.3">
      <c r="B5" s="6"/>
      <c r="C5" s="116"/>
      <c r="I5"/>
      <c r="J5" s="106"/>
      <c r="K5"/>
      <c r="P5" s="8"/>
    </row>
    <row r="6" spans="2:18" x14ac:dyDescent="0.25">
      <c r="B6" s="6"/>
      <c r="C6" s="300" t="s">
        <v>1</v>
      </c>
      <c r="D6" s="440">
        <f>Samenvatting!E6</f>
        <v>43186</v>
      </c>
      <c r="E6" s="440">
        <v>0</v>
      </c>
      <c r="I6"/>
      <c r="J6" s="106"/>
      <c r="K6"/>
      <c r="P6" s="8"/>
    </row>
    <row r="7" spans="2:18" x14ac:dyDescent="0.25">
      <c r="B7" s="6"/>
      <c r="C7" s="301" t="s">
        <v>26</v>
      </c>
      <c r="D7" s="302">
        <f>Samenvatting!E7</f>
        <v>0</v>
      </c>
      <c r="E7" s="302"/>
      <c r="I7"/>
      <c r="J7" s="106"/>
      <c r="K7"/>
      <c r="P7" s="8"/>
    </row>
    <row r="8" spans="2:18" ht="5.0999999999999996" customHeight="1" thickBot="1" x14ac:dyDescent="0.3">
      <c r="B8" s="12"/>
      <c r="C8" s="15"/>
      <c r="D8" s="13"/>
      <c r="E8" s="13"/>
      <c r="F8" s="13"/>
      <c r="G8" s="13"/>
      <c r="H8" s="13"/>
      <c r="I8" s="13"/>
      <c r="J8" s="108"/>
      <c r="K8" s="13"/>
      <c r="L8" s="13"/>
      <c r="M8" s="13"/>
      <c r="N8" s="13"/>
      <c r="O8" s="13"/>
      <c r="P8" s="14"/>
    </row>
    <row r="9" spans="2:18" ht="30" customHeight="1" thickBot="1" x14ac:dyDescent="0.3"/>
    <row r="10" spans="2:18" ht="5.0999999999999996" customHeight="1" x14ac:dyDescent="0.25">
      <c r="B10" s="30"/>
      <c r="C10" s="31"/>
      <c r="D10" s="32"/>
      <c r="E10" s="32"/>
      <c r="F10" s="32"/>
      <c r="G10" s="32"/>
      <c r="H10" s="32"/>
      <c r="I10" s="77"/>
      <c r="J10" s="32"/>
      <c r="K10" s="77"/>
      <c r="L10" s="32"/>
      <c r="M10" s="32"/>
      <c r="N10" s="32"/>
      <c r="O10" s="32"/>
      <c r="P10" s="33"/>
    </row>
    <row r="11" spans="2:18" x14ac:dyDescent="0.25">
      <c r="B11" s="34"/>
      <c r="C11" s="35" t="s">
        <v>285</v>
      </c>
      <c r="D11" s="36"/>
      <c r="E11" s="36"/>
      <c r="F11" s="36"/>
      <c r="G11" s="36"/>
      <c r="I11" s="44"/>
      <c r="K11" s="44"/>
      <c r="L11" s="36"/>
      <c r="M11" s="1"/>
      <c r="N11" s="1"/>
      <c r="O11" s="71" t="s">
        <v>62</v>
      </c>
      <c r="P11" s="37"/>
      <c r="R11" s="105" t="s">
        <v>137</v>
      </c>
    </row>
    <row r="12" spans="2:18" ht="15.75" thickBot="1" x14ac:dyDescent="0.3">
      <c r="B12" s="68"/>
      <c r="C12" s="48" t="s">
        <v>56</v>
      </c>
      <c r="D12" s="48" t="s">
        <v>55</v>
      </c>
      <c r="E12" s="50"/>
      <c r="F12" s="48"/>
      <c r="G12" s="48"/>
      <c r="H12" s="48" t="s">
        <v>107</v>
      </c>
      <c r="I12" s="78" t="s">
        <v>108</v>
      </c>
      <c r="J12" s="69"/>
      <c r="K12" s="82" t="s">
        <v>110</v>
      </c>
      <c r="L12" s="48"/>
      <c r="M12" s="295" t="s">
        <v>109</v>
      </c>
      <c r="N12" s="48"/>
      <c r="O12" s="295" t="s">
        <v>19</v>
      </c>
      <c r="P12" s="70"/>
      <c r="R12" t="s">
        <v>415</v>
      </c>
    </row>
    <row r="13" spans="2:18" x14ac:dyDescent="0.25">
      <c r="B13" s="6"/>
      <c r="C13" s="1"/>
      <c r="D13" s="1" t="s">
        <v>286</v>
      </c>
      <c r="E13" s="1"/>
      <c r="F13" s="1"/>
      <c r="G13" s="1"/>
      <c r="H13" s="1" t="s">
        <v>59</v>
      </c>
      <c r="I13" s="79"/>
      <c r="J13" s="72"/>
      <c r="K13" s="79">
        <f>(SUM(Input!M48,Input!M49)*1.4)</f>
        <v>0</v>
      </c>
      <c r="L13" s="1"/>
      <c r="N13" s="1"/>
      <c r="O13" s="57"/>
      <c r="P13" s="8"/>
      <c r="R13" t="s">
        <v>280</v>
      </c>
    </row>
    <row r="14" spans="2:18" x14ac:dyDescent="0.25">
      <c r="B14" s="6"/>
      <c r="C14" s="1"/>
      <c r="D14" s="11" t="str">
        <f>Basisgegevens!$D$13</f>
        <v>grondwerker</v>
      </c>
      <c r="E14" s="1"/>
      <c r="F14" s="1"/>
      <c r="G14" s="1"/>
      <c r="H14" s="1" t="s">
        <v>111</v>
      </c>
      <c r="I14" s="79">
        <v>140</v>
      </c>
      <c r="J14" s="72"/>
      <c r="K14" s="79">
        <f>$K$13/I14</f>
        <v>0</v>
      </c>
      <c r="L14" s="1"/>
      <c r="M14" s="57">
        <f>Basisgegevens!$M$13</f>
        <v>35</v>
      </c>
      <c r="N14" s="1"/>
      <c r="O14" s="57">
        <f>K14*M14</f>
        <v>0</v>
      </c>
      <c r="P14" s="8"/>
    </row>
    <row r="15" spans="2:18" x14ac:dyDescent="0.25">
      <c r="B15" s="6"/>
      <c r="C15" s="1"/>
      <c r="D15" s="11" t="str">
        <f>Basisgegevens!$D$38</f>
        <v>wiellaadschop 1 m³</v>
      </c>
      <c r="E15" s="1"/>
      <c r="F15" s="1"/>
      <c r="G15" s="1"/>
      <c r="H15" s="1" t="s">
        <v>111</v>
      </c>
      <c r="I15" s="79">
        <v>140</v>
      </c>
      <c r="J15" s="72"/>
      <c r="K15" s="79">
        <f>$K$13/I15</f>
        <v>0</v>
      </c>
      <c r="L15" s="1"/>
      <c r="M15" s="57">
        <f>Basisgegevens!$M$38</f>
        <v>67.5</v>
      </c>
      <c r="N15" s="1"/>
      <c r="O15" s="57">
        <f>K15*M15</f>
        <v>0</v>
      </c>
      <c r="P15" s="8"/>
    </row>
    <row r="16" spans="2:18" x14ac:dyDescent="0.25">
      <c r="B16" s="6"/>
      <c r="C16" s="1"/>
      <c r="D16" s="10" t="s">
        <v>288</v>
      </c>
      <c r="E16" s="1"/>
      <c r="F16" s="1"/>
      <c r="G16" s="1"/>
      <c r="H16" s="66" t="s">
        <v>168</v>
      </c>
      <c r="I16" s="79"/>
      <c r="J16" s="72"/>
      <c r="K16" s="79"/>
      <c r="L16" s="1"/>
      <c r="M16" s="57"/>
      <c r="N16" s="1"/>
      <c r="O16" s="57"/>
      <c r="P16" s="8"/>
    </row>
    <row r="17" spans="2:18" x14ac:dyDescent="0.25">
      <c r="B17" s="6"/>
      <c r="C17" s="1"/>
      <c r="D17" s="114" t="str">
        <f>Basisgegevens!$D$83</f>
        <v>zand voor zandbed</v>
      </c>
      <c r="E17" s="1"/>
      <c r="F17" s="1"/>
      <c r="G17" s="1"/>
      <c r="H17" s="66" t="s">
        <v>168</v>
      </c>
      <c r="I17" s="79">
        <v>1</v>
      </c>
      <c r="J17" s="72"/>
      <c r="K17" s="79">
        <f>K13*0.25*1.7</f>
        <v>0</v>
      </c>
      <c r="L17" s="1"/>
      <c r="M17" s="115">
        <f>Basisgegevens!$M$83</f>
        <v>5.75</v>
      </c>
      <c r="N17" s="1"/>
      <c r="O17" s="57">
        <f>K17*M17</f>
        <v>0</v>
      </c>
      <c r="P17" s="8"/>
    </row>
    <row r="18" spans="2:18" x14ac:dyDescent="0.25">
      <c r="B18" s="6"/>
      <c r="C18" s="1"/>
      <c r="D18" s="10" t="s">
        <v>289</v>
      </c>
      <c r="E18" s="1"/>
      <c r="F18" s="1"/>
      <c r="G18" s="1"/>
      <c r="H18" s="66" t="s">
        <v>59</v>
      </c>
      <c r="I18" s="79"/>
      <c r="J18" s="72"/>
      <c r="K18" s="79"/>
      <c r="L18" s="1"/>
      <c r="M18" s="57"/>
      <c r="N18" s="1"/>
      <c r="O18" s="57"/>
      <c r="P18" s="8"/>
    </row>
    <row r="19" spans="2:18" x14ac:dyDescent="0.25">
      <c r="B19" s="6"/>
      <c r="C19" s="1"/>
      <c r="D19" s="11" t="str">
        <f>Basisgegevens!$D$13</f>
        <v>grondwerker</v>
      </c>
      <c r="E19" s="1"/>
      <c r="F19" s="1"/>
      <c r="G19" s="1"/>
      <c r="H19" s="1" t="s">
        <v>111</v>
      </c>
      <c r="I19" s="79">
        <v>100</v>
      </c>
      <c r="J19" s="72"/>
      <c r="K19" s="79">
        <f>$K$13/I19</f>
        <v>0</v>
      </c>
      <c r="L19" s="1"/>
      <c r="M19" s="57">
        <f>Basisgegevens!$M$13</f>
        <v>35</v>
      </c>
      <c r="N19" s="1"/>
      <c r="O19" s="57">
        <f>K19*M19</f>
        <v>0</v>
      </c>
      <c r="P19" s="8"/>
    </row>
    <row r="20" spans="2:18" x14ac:dyDescent="0.25">
      <c r="B20" s="6"/>
      <c r="C20" s="1"/>
      <c r="D20" s="114" t="str">
        <f>Basisgegevens!$D$43</f>
        <v>trilplaat 1000 kg, excl. bediening</v>
      </c>
      <c r="E20" s="1"/>
      <c r="F20" s="1"/>
      <c r="G20" s="1"/>
      <c r="H20" s="66" t="s">
        <v>170</v>
      </c>
      <c r="I20" s="79">
        <v>800</v>
      </c>
      <c r="J20" s="72"/>
      <c r="K20" s="79">
        <f>K13/I20*8</f>
        <v>0</v>
      </c>
      <c r="L20" s="1"/>
      <c r="M20" s="115">
        <f>Basisgegevens!$M$43</f>
        <v>20</v>
      </c>
      <c r="N20" s="1"/>
      <c r="O20" s="57">
        <f>K20*M20</f>
        <v>0</v>
      </c>
      <c r="P20" s="8"/>
      <c r="R20" s="19"/>
    </row>
    <row r="21" spans="2:18" x14ac:dyDescent="0.25">
      <c r="B21" s="73"/>
      <c r="C21" s="74"/>
      <c r="D21" s="74" t="s">
        <v>22</v>
      </c>
      <c r="E21" s="74"/>
      <c r="F21" s="74"/>
      <c r="G21" s="74"/>
      <c r="H21" s="74" t="str">
        <f>H13</f>
        <v>m2</v>
      </c>
      <c r="I21" s="80"/>
      <c r="J21" s="74"/>
      <c r="K21" s="80">
        <f>K13</f>
        <v>0</v>
      </c>
      <c r="L21" s="74"/>
      <c r="M21" s="76" t="e">
        <f>O21/K13</f>
        <v>#DIV/0!</v>
      </c>
      <c r="N21" s="74"/>
      <c r="O21" s="76">
        <f>SUM(O14:O20)</f>
        <v>0</v>
      </c>
      <c r="P21" s="75"/>
    </row>
    <row r="22" spans="2:18" ht="5.0999999999999996" customHeight="1" thickBot="1" x14ac:dyDescent="0.3">
      <c r="B22" s="12"/>
      <c r="C22" s="13"/>
      <c r="D22" s="13"/>
      <c r="E22" s="13"/>
      <c r="F22" s="13"/>
      <c r="G22" s="13"/>
      <c r="H22" s="13"/>
      <c r="I22" s="15"/>
      <c r="J22" s="13"/>
      <c r="K22" s="15"/>
      <c r="L22" s="13"/>
      <c r="M22" s="13"/>
      <c r="N22" s="13"/>
      <c r="O22" s="13"/>
      <c r="P22" s="14"/>
    </row>
    <row r="23" spans="2:18" ht="30" customHeight="1" thickBot="1" x14ac:dyDescent="0.3"/>
    <row r="24" spans="2:18" ht="5.0999999999999996" customHeight="1" x14ac:dyDescent="0.25">
      <c r="B24" s="30"/>
      <c r="C24" s="31"/>
      <c r="D24" s="32"/>
      <c r="E24" s="32"/>
      <c r="F24" s="32"/>
      <c r="G24" s="32"/>
      <c r="H24" s="32"/>
      <c r="I24" s="77"/>
      <c r="J24" s="32"/>
      <c r="K24" s="77"/>
      <c r="L24" s="32"/>
      <c r="M24" s="32"/>
      <c r="N24" s="32"/>
      <c r="O24" s="32"/>
      <c r="P24" s="33"/>
    </row>
    <row r="25" spans="2:18" x14ac:dyDescent="0.25">
      <c r="B25" s="34"/>
      <c r="C25" s="35" t="s">
        <v>285</v>
      </c>
      <c r="D25" s="36"/>
      <c r="E25" s="36"/>
      <c r="F25" s="36"/>
      <c r="G25" s="36"/>
      <c r="I25" s="44"/>
      <c r="K25" s="44"/>
      <c r="L25" s="36"/>
      <c r="M25" s="1"/>
      <c r="N25" s="1"/>
      <c r="O25" s="71" t="s">
        <v>62</v>
      </c>
      <c r="P25" s="37"/>
      <c r="R25" s="105" t="s">
        <v>137</v>
      </c>
    </row>
    <row r="26" spans="2:18" ht="15.75" thickBot="1" x14ac:dyDescent="0.3">
      <c r="B26" s="68"/>
      <c r="C26" s="48" t="s">
        <v>56</v>
      </c>
      <c r="D26" s="48" t="s">
        <v>55</v>
      </c>
      <c r="E26" s="50"/>
      <c r="F26" s="48"/>
      <c r="G26" s="48"/>
      <c r="H26" s="48" t="s">
        <v>107</v>
      </c>
      <c r="I26" s="78" t="s">
        <v>108</v>
      </c>
      <c r="J26" s="69"/>
      <c r="K26" s="82" t="s">
        <v>110</v>
      </c>
      <c r="L26" s="48"/>
      <c r="M26" s="48" t="s">
        <v>109</v>
      </c>
      <c r="N26" s="48"/>
      <c r="O26" s="48" t="s">
        <v>19</v>
      </c>
      <c r="P26" s="70"/>
      <c r="R26" t="s">
        <v>418</v>
      </c>
    </row>
    <row r="27" spans="2:18" x14ac:dyDescent="0.25">
      <c r="B27" s="6"/>
      <c r="C27" s="1"/>
      <c r="D27" s="1" t="s">
        <v>286</v>
      </c>
      <c r="E27" s="1"/>
      <c r="F27" s="1"/>
      <c r="G27" s="1"/>
      <c r="H27" s="1" t="s">
        <v>59</v>
      </c>
      <c r="I27" s="79"/>
      <c r="J27" s="72"/>
      <c r="K27" s="79">
        <f>(SUM(Input!G46)*1.16)</f>
        <v>0</v>
      </c>
      <c r="L27" s="1"/>
      <c r="N27" s="1"/>
      <c r="O27" s="57"/>
      <c r="P27" s="8"/>
      <c r="R27" t="s">
        <v>282</v>
      </c>
    </row>
    <row r="28" spans="2:18" x14ac:dyDescent="0.25">
      <c r="B28" s="6"/>
      <c r="C28" s="1"/>
      <c r="D28" s="11" t="str">
        <f>Basisgegevens!$D$13</f>
        <v>grondwerker</v>
      </c>
      <c r="E28" s="1"/>
      <c r="F28" s="1"/>
      <c r="G28" s="1"/>
      <c r="H28" s="1" t="s">
        <v>111</v>
      </c>
      <c r="I28" s="79">
        <v>160</v>
      </c>
      <c r="J28" s="72"/>
      <c r="K28" s="79">
        <f>K27/I28</f>
        <v>0</v>
      </c>
      <c r="L28" s="1"/>
      <c r="M28" s="57">
        <f>Basisgegevens!$M$13</f>
        <v>35</v>
      </c>
      <c r="N28" s="1"/>
      <c r="O28" s="57">
        <f>K28*M28</f>
        <v>0</v>
      </c>
      <c r="P28" s="8"/>
      <c r="Q28" s="18"/>
    </row>
    <row r="29" spans="2:18" x14ac:dyDescent="0.25">
      <c r="B29" s="6"/>
      <c r="C29" s="1"/>
      <c r="D29" s="11" t="str">
        <f>Basisgegevens!$D$38</f>
        <v>wiellaadschop 1 m³</v>
      </c>
      <c r="E29" s="1"/>
      <c r="F29" s="1"/>
      <c r="G29" s="1"/>
      <c r="H29" s="1" t="s">
        <v>111</v>
      </c>
      <c r="I29" s="79">
        <v>160</v>
      </c>
      <c r="J29" s="72"/>
      <c r="K29" s="79">
        <f>K27/I29</f>
        <v>0</v>
      </c>
      <c r="L29" s="1"/>
      <c r="M29" s="57">
        <f>Basisgegevens!$M$38</f>
        <v>67.5</v>
      </c>
      <c r="N29" s="1"/>
      <c r="O29" s="57">
        <f>K29*M29</f>
        <v>0</v>
      </c>
      <c r="P29" s="8"/>
      <c r="Q29" s="18"/>
    </row>
    <row r="30" spans="2:18" x14ac:dyDescent="0.25">
      <c r="B30" s="6"/>
      <c r="C30" s="1"/>
      <c r="D30" s="10" t="s">
        <v>288</v>
      </c>
      <c r="E30" s="1"/>
      <c r="F30" s="1"/>
      <c r="G30" s="1"/>
      <c r="H30" s="66" t="s">
        <v>168</v>
      </c>
      <c r="I30" s="79"/>
      <c r="J30" s="72"/>
      <c r="K30" s="79"/>
      <c r="L30" s="1"/>
      <c r="M30" s="57"/>
      <c r="N30" s="1"/>
      <c r="O30" s="57"/>
      <c r="P30" s="8"/>
      <c r="Q30" s="18"/>
      <c r="R30" s="19"/>
    </row>
    <row r="31" spans="2:18" x14ac:dyDescent="0.25">
      <c r="B31" s="6"/>
      <c r="C31" s="1"/>
      <c r="D31" s="114" t="str">
        <f>Basisgegevens!$D$83</f>
        <v>zand voor zandbed</v>
      </c>
      <c r="E31" s="1"/>
      <c r="F31" s="1"/>
      <c r="G31" s="1"/>
      <c r="H31" s="66" t="s">
        <v>168</v>
      </c>
      <c r="I31" s="79">
        <v>1</v>
      </c>
      <c r="J31" s="72"/>
      <c r="K31" s="79">
        <f>K27*0.25*1.7</f>
        <v>0</v>
      </c>
      <c r="L31" s="1"/>
      <c r="M31" s="115">
        <f>Basisgegevens!$M$83</f>
        <v>5.75</v>
      </c>
      <c r="N31" s="1"/>
      <c r="O31" s="57">
        <f>K31*M31</f>
        <v>0</v>
      </c>
      <c r="P31" s="8"/>
      <c r="Q31" s="18"/>
    </row>
    <row r="32" spans="2:18" x14ac:dyDescent="0.25">
      <c r="B32" s="6"/>
      <c r="C32" s="1"/>
      <c r="D32" s="10" t="s">
        <v>289</v>
      </c>
      <c r="E32" s="1"/>
      <c r="F32" s="1"/>
      <c r="G32" s="1"/>
      <c r="H32" s="66" t="s">
        <v>59</v>
      </c>
      <c r="I32" s="79"/>
      <c r="J32" s="72"/>
      <c r="K32" s="79"/>
      <c r="L32" s="1"/>
      <c r="M32" s="57"/>
      <c r="N32" s="1"/>
      <c r="O32" s="57"/>
      <c r="P32" s="8"/>
      <c r="Q32" s="18"/>
      <c r="R32" s="19"/>
    </row>
    <row r="33" spans="2:18" x14ac:dyDescent="0.25">
      <c r="B33" s="6"/>
      <c r="C33" s="1"/>
      <c r="D33" s="11" t="str">
        <f>Basisgegevens!$D$13</f>
        <v>grondwerker</v>
      </c>
      <c r="E33" s="1"/>
      <c r="F33" s="1"/>
      <c r="G33" s="1"/>
      <c r="H33" s="1" t="s">
        <v>111</v>
      </c>
      <c r="I33" s="79">
        <v>100</v>
      </c>
      <c r="J33" s="72"/>
      <c r="K33" s="79">
        <f>K27/I33</f>
        <v>0</v>
      </c>
      <c r="L33" s="1"/>
      <c r="M33" s="57">
        <f>Basisgegevens!$M$13</f>
        <v>35</v>
      </c>
      <c r="N33" s="1"/>
      <c r="O33" s="57">
        <f>K33*M33</f>
        <v>0</v>
      </c>
      <c r="P33" s="8"/>
      <c r="Q33" s="18"/>
    </row>
    <row r="34" spans="2:18" x14ac:dyDescent="0.25">
      <c r="B34" s="6"/>
      <c r="C34" s="1"/>
      <c r="D34" s="114" t="str">
        <f>Basisgegevens!$D$43</f>
        <v>trilplaat 1000 kg, excl. bediening</v>
      </c>
      <c r="E34" s="1"/>
      <c r="F34" s="1"/>
      <c r="G34" s="1"/>
      <c r="H34" s="66" t="s">
        <v>170</v>
      </c>
      <c r="I34" s="79">
        <v>800</v>
      </c>
      <c r="J34" s="72"/>
      <c r="K34" s="79">
        <f>K27/I34*8</f>
        <v>0</v>
      </c>
      <c r="L34" s="1"/>
      <c r="M34" s="115">
        <f>Basisgegevens!$M$43</f>
        <v>20</v>
      </c>
      <c r="N34" s="1"/>
      <c r="O34" s="57">
        <f>K34*M34</f>
        <v>0</v>
      </c>
      <c r="P34" s="8"/>
      <c r="Q34" s="18"/>
      <c r="R34" s="19"/>
    </row>
    <row r="35" spans="2:18" x14ac:dyDescent="0.25">
      <c r="B35" s="73"/>
      <c r="C35" s="74"/>
      <c r="D35" s="74" t="s">
        <v>22</v>
      </c>
      <c r="E35" s="74"/>
      <c r="F35" s="74"/>
      <c r="G35" s="74"/>
      <c r="H35" s="74" t="str">
        <f>H27</f>
        <v>m2</v>
      </c>
      <c r="I35" s="80"/>
      <c r="J35" s="74"/>
      <c r="K35" s="80">
        <f>K27</f>
        <v>0</v>
      </c>
      <c r="L35" s="74"/>
      <c r="M35" s="76" t="e">
        <f>O35/K27</f>
        <v>#DIV/0!</v>
      </c>
      <c r="N35" s="74"/>
      <c r="O35" s="76">
        <f>SUM(O28:O34)</f>
        <v>0</v>
      </c>
      <c r="P35" s="75"/>
      <c r="R35" s="19"/>
    </row>
    <row r="36" spans="2:18" ht="5.0999999999999996" customHeight="1" thickBot="1" x14ac:dyDescent="0.3">
      <c r="B36" s="12"/>
      <c r="C36" s="13"/>
      <c r="D36" s="13"/>
      <c r="E36" s="13"/>
      <c r="F36" s="13"/>
      <c r="G36" s="13"/>
      <c r="H36" s="13"/>
      <c r="I36" s="15"/>
      <c r="J36" s="13"/>
      <c r="K36" s="15"/>
      <c r="L36" s="13"/>
      <c r="M36" s="13"/>
      <c r="N36" s="13"/>
      <c r="O36" s="13"/>
      <c r="P36" s="14"/>
    </row>
    <row r="37" spans="2:18" ht="30" customHeight="1" thickBot="1" x14ac:dyDescent="0.3"/>
    <row r="38" spans="2:18" ht="5.0999999999999996" customHeight="1" x14ac:dyDescent="0.25">
      <c r="B38" s="30"/>
      <c r="C38" s="31"/>
      <c r="D38" s="32"/>
      <c r="E38" s="32"/>
      <c r="F38" s="32"/>
      <c r="G38" s="32"/>
      <c r="H38" s="32"/>
      <c r="I38" s="77"/>
      <c r="J38" s="32"/>
      <c r="K38" s="77"/>
      <c r="L38" s="32"/>
      <c r="M38" s="32"/>
      <c r="N38" s="32"/>
      <c r="O38" s="32"/>
      <c r="P38" s="33"/>
    </row>
    <row r="39" spans="2:18" x14ac:dyDescent="0.25">
      <c r="B39" s="34"/>
      <c r="C39" s="35" t="s">
        <v>290</v>
      </c>
      <c r="D39" s="36"/>
      <c r="E39" s="36"/>
      <c r="F39" s="36"/>
      <c r="G39" s="36"/>
      <c r="I39" s="44"/>
      <c r="K39" s="44"/>
      <c r="L39" s="36"/>
      <c r="M39" s="1"/>
      <c r="N39" s="1"/>
      <c r="O39" s="71" t="s">
        <v>62</v>
      </c>
      <c r="P39" s="37"/>
      <c r="R39" s="105" t="s">
        <v>137</v>
      </c>
    </row>
    <row r="40" spans="2:18" ht="15.75" thickBot="1" x14ac:dyDescent="0.3">
      <c r="B40" s="68"/>
      <c r="C40" s="48" t="s">
        <v>56</v>
      </c>
      <c r="D40" s="48" t="s">
        <v>55</v>
      </c>
      <c r="E40" s="50"/>
      <c r="F40" s="48"/>
      <c r="G40" s="48"/>
      <c r="H40" s="48" t="s">
        <v>107</v>
      </c>
      <c r="I40" s="78" t="s">
        <v>108</v>
      </c>
      <c r="J40" s="69"/>
      <c r="K40" s="82" t="s">
        <v>110</v>
      </c>
      <c r="L40" s="48"/>
      <c r="M40" s="48" t="s">
        <v>109</v>
      </c>
      <c r="N40" s="48"/>
      <c r="O40" s="48" t="s">
        <v>19</v>
      </c>
      <c r="P40" s="70"/>
      <c r="R40" t="s">
        <v>419</v>
      </c>
    </row>
    <row r="41" spans="2:18" x14ac:dyDescent="0.25">
      <c r="B41" s="6"/>
      <c r="C41" s="1"/>
      <c r="D41" s="1" t="s">
        <v>434</v>
      </c>
      <c r="E41" s="1"/>
      <c r="F41" s="1"/>
      <c r="G41" s="1"/>
      <c r="H41" s="1" t="s">
        <v>59</v>
      </c>
      <c r="I41" s="79"/>
      <c r="J41" s="72"/>
      <c r="K41" s="79">
        <f>(SUM(Input!I47,Input!K47,Input!G48)*1.4)</f>
        <v>0</v>
      </c>
      <c r="L41" s="1"/>
      <c r="N41" s="1"/>
      <c r="O41" s="57"/>
      <c r="P41" s="8"/>
      <c r="R41" t="s">
        <v>416</v>
      </c>
    </row>
    <row r="42" spans="2:18" x14ac:dyDescent="0.25">
      <c r="B42" s="6"/>
      <c r="C42" s="1"/>
      <c r="D42" s="11" t="str">
        <f>Basisgegevens!$D$13</f>
        <v>grondwerker</v>
      </c>
      <c r="E42" s="1"/>
      <c r="F42" s="1"/>
      <c r="G42" s="1"/>
      <c r="H42" s="1" t="s">
        <v>111</v>
      </c>
      <c r="I42" s="79">
        <v>180</v>
      </c>
      <c r="J42" s="72"/>
      <c r="K42" s="79">
        <f>$K$41/I42</f>
        <v>0</v>
      </c>
      <c r="L42" s="1"/>
      <c r="M42" s="57">
        <f>Basisgegevens!$M$13</f>
        <v>35</v>
      </c>
      <c r="N42" s="1"/>
      <c r="O42" s="57">
        <f>K42*M42</f>
        <v>0</v>
      </c>
      <c r="P42" s="8"/>
    </row>
    <row r="43" spans="2:18" x14ac:dyDescent="0.25">
      <c r="B43" s="6"/>
      <c r="C43" s="1"/>
      <c r="D43" s="11" t="str">
        <f>Basisgegevens!$D$39</f>
        <v>wiellaadschop 2 m³</v>
      </c>
      <c r="E43" s="1"/>
      <c r="F43" s="1"/>
      <c r="G43" s="1"/>
      <c r="H43" s="1" t="s">
        <v>111</v>
      </c>
      <c r="I43" s="79">
        <v>180</v>
      </c>
      <c r="J43" s="72"/>
      <c r="K43" s="79">
        <f>$K$41/I43</f>
        <v>0</v>
      </c>
      <c r="L43" s="1"/>
      <c r="M43" s="57">
        <f>Basisgegevens!$M$39</f>
        <v>75</v>
      </c>
      <c r="N43" s="1"/>
      <c r="O43" s="57">
        <f>K43*M43</f>
        <v>0</v>
      </c>
      <c r="P43" s="8"/>
    </row>
    <row r="44" spans="2:18" x14ac:dyDescent="0.25">
      <c r="B44" s="6"/>
      <c r="C44" s="1"/>
      <c r="D44" s="10" t="s">
        <v>291</v>
      </c>
      <c r="E44" s="1"/>
      <c r="F44" s="1"/>
      <c r="G44" s="1"/>
      <c r="H44" s="66" t="s">
        <v>168</v>
      </c>
      <c r="I44" s="79"/>
      <c r="J44" s="72"/>
      <c r="K44" s="79"/>
      <c r="L44" s="1"/>
      <c r="M44" s="57"/>
      <c r="N44" s="1"/>
      <c r="O44" s="57"/>
      <c r="P44" s="8"/>
    </row>
    <row r="45" spans="2:18" x14ac:dyDescent="0.25">
      <c r="B45" s="6"/>
      <c r="C45" s="1"/>
      <c r="D45" s="114" t="str">
        <f>Basisgegevens!$D$89</f>
        <v>menggranulaat 0/31,5</v>
      </c>
      <c r="E45" s="1"/>
      <c r="F45" s="1"/>
      <c r="G45" s="1"/>
      <c r="H45" s="66" t="s">
        <v>168</v>
      </c>
      <c r="I45" s="79">
        <v>1</v>
      </c>
      <c r="J45" s="72"/>
      <c r="K45" s="79">
        <f>$K$41*0.25*1.85</f>
        <v>0</v>
      </c>
      <c r="L45" s="1"/>
      <c r="M45" s="115">
        <f>Basisgegevens!$M$89</f>
        <v>5.25</v>
      </c>
      <c r="N45" s="1"/>
      <c r="O45" s="57">
        <f>K45*M45</f>
        <v>0</v>
      </c>
      <c r="P45" s="8"/>
    </row>
    <row r="46" spans="2:18" x14ac:dyDescent="0.25">
      <c r="B46" s="6"/>
      <c r="C46" s="1"/>
      <c r="D46" s="10" t="s">
        <v>294</v>
      </c>
      <c r="E46" s="1"/>
      <c r="F46" s="1"/>
      <c r="G46" s="1"/>
      <c r="H46" s="66" t="s">
        <v>59</v>
      </c>
      <c r="I46" s="79"/>
      <c r="J46" s="72"/>
      <c r="K46" s="79"/>
      <c r="L46" s="1"/>
      <c r="M46" s="57"/>
      <c r="N46" s="1"/>
      <c r="O46" s="57"/>
      <c r="P46" s="8"/>
    </row>
    <row r="47" spans="2:18" x14ac:dyDescent="0.25">
      <c r="B47" s="6"/>
      <c r="C47" s="1"/>
      <c r="D47" s="11" t="str">
        <f>Basisgegevens!$D$13</f>
        <v>grondwerker</v>
      </c>
      <c r="E47" s="1"/>
      <c r="F47" s="1"/>
      <c r="G47" s="1"/>
      <c r="H47" s="1" t="s">
        <v>111</v>
      </c>
      <c r="I47" s="79">
        <v>150</v>
      </c>
      <c r="J47" s="72"/>
      <c r="K47" s="79">
        <f>$K$41/I47</f>
        <v>0</v>
      </c>
      <c r="L47" s="1"/>
      <c r="M47" s="57">
        <f>Basisgegevens!$M$13</f>
        <v>35</v>
      </c>
      <c r="N47" s="1"/>
      <c r="O47" s="57">
        <f>K47*M47</f>
        <v>0</v>
      </c>
      <c r="P47" s="8"/>
    </row>
    <row r="48" spans="2:18" x14ac:dyDescent="0.25">
      <c r="B48" s="6"/>
      <c r="C48" s="1"/>
      <c r="D48" s="114" t="str">
        <f>Basisgegevens!$D$42</f>
        <v>trilwals 6000 kg, excl. bediening</v>
      </c>
      <c r="E48" s="1"/>
      <c r="F48" s="1"/>
      <c r="G48" s="1"/>
      <c r="H48" s="66" t="s">
        <v>170</v>
      </c>
      <c r="I48" s="79">
        <v>1200</v>
      </c>
      <c r="J48" s="72"/>
      <c r="K48" s="79">
        <f>K41/I48*8</f>
        <v>0</v>
      </c>
      <c r="L48" s="1"/>
      <c r="M48" s="115">
        <f>Basisgegevens!$M$42</f>
        <v>60</v>
      </c>
      <c r="N48" s="1"/>
      <c r="O48" s="57">
        <f>K48*M48</f>
        <v>0</v>
      </c>
      <c r="P48" s="8"/>
      <c r="R48" s="19"/>
    </row>
    <row r="49" spans="2:18" x14ac:dyDescent="0.25">
      <c r="B49" s="73"/>
      <c r="C49" s="74"/>
      <c r="D49" s="74" t="s">
        <v>22</v>
      </c>
      <c r="E49" s="74"/>
      <c r="F49" s="74"/>
      <c r="G49" s="74"/>
      <c r="H49" s="74" t="str">
        <f>H41</f>
        <v>m2</v>
      </c>
      <c r="I49" s="80"/>
      <c r="J49" s="74"/>
      <c r="K49" s="80">
        <f>K41</f>
        <v>0</v>
      </c>
      <c r="L49" s="74"/>
      <c r="M49" s="76" t="e">
        <f>O49/K41</f>
        <v>#DIV/0!</v>
      </c>
      <c r="N49" s="74"/>
      <c r="O49" s="76">
        <f>SUM(O42:O48)</f>
        <v>0</v>
      </c>
      <c r="P49" s="75"/>
    </row>
    <row r="50" spans="2:18" ht="5.0999999999999996" customHeight="1" thickBot="1" x14ac:dyDescent="0.3">
      <c r="B50" s="12"/>
      <c r="C50" s="13"/>
      <c r="D50" s="13"/>
      <c r="E50" s="13"/>
      <c r="F50" s="13"/>
      <c r="G50" s="13"/>
      <c r="H50" s="13"/>
      <c r="I50" s="15"/>
      <c r="J50" s="13"/>
      <c r="K50" s="15"/>
      <c r="L50" s="13"/>
      <c r="M50" s="13"/>
      <c r="N50" s="13"/>
      <c r="O50" s="13"/>
      <c r="P50" s="14"/>
    </row>
    <row r="51" spans="2:18" ht="30" customHeight="1" thickBot="1" x14ac:dyDescent="0.3"/>
    <row r="52" spans="2:18" ht="5.0999999999999996" customHeight="1" x14ac:dyDescent="0.25">
      <c r="B52" s="30"/>
      <c r="C52" s="31"/>
      <c r="D52" s="32"/>
      <c r="E52" s="32"/>
      <c r="F52" s="32"/>
      <c r="G52" s="32"/>
      <c r="H52" s="32"/>
      <c r="I52" s="77"/>
      <c r="J52" s="32"/>
      <c r="K52" s="77"/>
      <c r="L52" s="32"/>
      <c r="M52" s="32"/>
      <c r="N52" s="32"/>
      <c r="O52" s="32"/>
      <c r="P52" s="33"/>
    </row>
    <row r="53" spans="2:18" x14ac:dyDescent="0.25">
      <c r="B53" s="34"/>
      <c r="C53" s="35" t="s">
        <v>290</v>
      </c>
      <c r="D53" s="36"/>
      <c r="E53" s="36"/>
      <c r="F53" s="36"/>
      <c r="G53" s="36"/>
      <c r="I53" s="44"/>
      <c r="K53" s="44"/>
      <c r="L53" s="36"/>
      <c r="M53" s="1"/>
      <c r="N53" s="1"/>
      <c r="O53" s="71" t="s">
        <v>62</v>
      </c>
      <c r="P53" s="37"/>
      <c r="R53" s="105" t="s">
        <v>137</v>
      </c>
    </row>
    <row r="54" spans="2:18" ht="15.75" thickBot="1" x14ac:dyDescent="0.3">
      <c r="B54" s="68"/>
      <c r="C54" s="48" t="s">
        <v>56</v>
      </c>
      <c r="D54" s="48" t="s">
        <v>55</v>
      </c>
      <c r="E54" s="50"/>
      <c r="F54" s="48"/>
      <c r="G54" s="48"/>
      <c r="H54" s="48" t="s">
        <v>107</v>
      </c>
      <c r="I54" s="78" t="s">
        <v>108</v>
      </c>
      <c r="J54" s="69"/>
      <c r="K54" s="82" t="s">
        <v>110</v>
      </c>
      <c r="L54" s="48"/>
      <c r="M54" s="48" t="s">
        <v>109</v>
      </c>
      <c r="N54" s="48"/>
      <c r="O54" s="48" t="s">
        <v>19</v>
      </c>
      <c r="P54" s="70"/>
      <c r="R54" t="s">
        <v>292</v>
      </c>
    </row>
    <row r="55" spans="2:18" x14ac:dyDescent="0.25">
      <c r="B55" s="6"/>
      <c r="C55" s="1"/>
      <c r="D55" s="1" t="s">
        <v>434</v>
      </c>
      <c r="E55" s="1"/>
      <c r="F55" s="1"/>
      <c r="G55" s="1"/>
      <c r="H55" s="1" t="s">
        <v>59</v>
      </c>
      <c r="I55" s="79"/>
      <c r="J55" s="72"/>
      <c r="K55" s="79">
        <f>(SUM(Input!I46,Input!K46+Input!G51*148,Input!G52*43)*1.2)</f>
        <v>0</v>
      </c>
      <c r="L55" s="1"/>
      <c r="N55" s="1"/>
      <c r="O55" s="57"/>
      <c r="P55" s="8"/>
      <c r="R55" t="s">
        <v>279</v>
      </c>
    </row>
    <row r="56" spans="2:18" x14ac:dyDescent="0.25">
      <c r="B56" s="6"/>
      <c r="C56" s="1"/>
      <c r="D56" s="11" t="str">
        <f>Basisgegevens!$D$13</f>
        <v>grondwerker</v>
      </c>
      <c r="E56" s="1"/>
      <c r="F56" s="1"/>
      <c r="G56" s="1"/>
      <c r="H56" s="1" t="s">
        <v>111</v>
      </c>
      <c r="I56" s="79">
        <v>200</v>
      </c>
      <c r="J56" s="72"/>
      <c r="K56" s="79">
        <f>$K$55/I56</f>
        <v>0</v>
      </c>
      <c r="L56" s="1"/>
      <c r="M56" s="57">
        <f>Basisgegevens!$M$13</f>
        <v>35</v>
      </c>
      <c r="N56" s="1"/>
      <c r="O56" s="57">
        <f>K56*M56</f>
        <v>0</v>
      </c>
      <c r="P56" s="8"/>
    </row>
    <row r="57" spans="2:18" x14ac:dyDescent="0.25">
      <c r="B57" s="6"/>
      <c r="C57" s="1"/>
      <c r="D57" s="11" t="str">
        <f>Basisgegevens!$D$39</f>
        <v>wiellaadschop 2 m³</v>
      </c>
      <c r="E57" s="1"/>
      <c r="F57" s="1"/>
      <c r="G57" s="1"/>
      <c r="H57" s="1" t="s">
        <v>111</v>
      </c>
      <c r="I57" s="79">
        <v>200</v>
      </c>
      <c r="J57" s="72"/>
      <c r="K57" s="79">
        <f>$K$55/I57</f>
        <v>0</v>
      </c>
      <c r="L57" s="1"/>
      <c r="M57" s="57">
        <f>Basisgegevens!$M$39</f>
        <v>75</v>
      </c>
      <c r="N57" s="1"/>
      <c r="O57" s="57">
        <f>K57*M57</f>
        <v>0</v>
      </c>
      <c r="P57" s="8"/>
    </row>
    <row r="58" spans="2:18" x14ac:dyDescent="0.25">
      <c r="B58" s="6"/>
      <c r="C58" s="1"/>
      <c r="D58" s="10" t="s">
        <v>291</v>
      </c>
      <c r="E58" s="1"/>
      <c r="F58" s="1"/>
      <c r="G58" s="1"/>
      <c r="H58" s="66" t="s">
        <v>168</v>
      </c>
      <c r="I58" s="79"/>
      <c r="J58" s="72"/>
      <c r="K58" s="79"/>
      <c r="L58" s="1"/>
      <c r="M58" s="57"/>
      <c r="N58" s="1"/>
      <c r="O58" s="57"/>
      <c r="P58" s="8"/>
    </row>
    <row r="59" spans="2:18" x14ac:dyDescent="0.25">
      <c r="B59" s="6"/>
      <c r="C59" s="1"/>
      <c r="D59" s="114" t="str">
        <f>Basisgegevens!$D$89</f>
        <v>menggranulaat 0/31,5</v>
      </c>
      <c r="E59" s="1"/>
      <c r="F59" s="1"/>
      <c r="G59" s="1"/>
      <c r="H59" s="66" t="s">
        <v>168</v>
      </c>
      <c r="I59" s="79">
        <v>1</v>
      </c>
      <c r="J59" s="72"/>
      <c r="K59" s="79">
        <f>K55*0.25*1.85</f>
        <v>0</v>
      </c>
      <c r="L59" s="1"/>
      <c r="M59" s="115">
        <f>Basisgegevens!$M$89</f>
        <v>5.25</v>
      </c>
      <c r="N59" s="1"/>
      <c r="O59" s="57">
        <f>K59*M59</f>
        <v>0</v>
      </c>
      <c r="P59" s="8"/>
    </row>
    <row r="60" spans="2:18" x14ac:dyDescent="0.25">
      <c r="B60" s="6"/>
      <c r="C60" s="1"/>
      <c r="D60" s="10" t="s">
        <v>294</v>
      </c>
      <c r="E60" s="1"/>
      <c r="F60" s="1"/>
      <c r="G60" s="1"/>
      <c r="H60" s="66" t="s">
        <v>59</v>
      </c>
      <c r="I60" s="79"/>
      <c r="J60" s="72"/>
      <c r="K60" s="79"/>
      <c r="L60" s="1"/>
      <c r="M60" s="57"/>
      <c r="N60" s="1"/>
      <c r="O60" s="57"/>
      <c r="P60" s="8"/>
    </row>
    <row r="61" spans="2:18" x14ac:dyDescent="0.25">
      <c r="B61" s="6"/>
      <c r="C61" s="1"/>
      <c r="D61" s="11" t="str">
        <f>Basisgegevens!$D$13</f>
        <v>grondwerker</v>
      </c>
      <c r="E61" s="1"/>
      <c r="F61" s="1"/>
      <c r="G61" s="1"/>
      <c r="H61" s="1" t="s">
        <v>111</v>
      </c>
      <c r="I61" s="79">
        <v>150</v>
      </c>
      <c r="J61" s="72"/>
      <c r="K61" s="79">
        <f>$K$55/I61</f>
        <v>0</v>
      </c>
      <c r="L61" s="1"/>
      <c r="M61" s="57">
        <f>Basisgegevens!$M$13</f>
        <v>35</v>
      </c>
      <c r="N61" s="1"/>
      <c r="O61" s="57">
        <f>K61*M61</f>
        <v>0</v>
      </c>
      <c r="P61" s="8"/>
    </row>
    <row r="62" spans="2:18" x14ac:dyDescent="0.25">
      <c r="B62" s="6"/>
      <c r="C62" s="1"/>
      <c r="D62" s="114" t="str">
        <f>Basisgegevens!$D$42</f>
        <v>trilwals 6000 kg, excl. bediening</v>
      </c>
      <c r="E62" s="1"/>
      <c r="F62" s="1"/>
      <c r="G62" s="1"/>
      <c r="H62" s="66" t="s">
        <v>170</v>
      </c>
      <c r="I62" s="79">
        <v>1200</v>
      </c>
      <c r="J62" s="72"/>
      <c r="K62" s="79">
        <f>K55/I62*8</f>
        <v>0</v>
      </c>
      <c r="L62" s="1"/>
      <c r="M62" s="115">
        <f>Basisgegevens!$M$42</f>
        <v>60</v>
      </c>
      <c r="N62" s="1"/>
      <c r="O62" s="57">
        <f>K62*M62</f>
        <v>0</v>
      </c>
      <c r="P62" s="8"/>
      <c r="R62" s="19"/>
    </row>
    <row r="63" spans="2:18" x14ac:dyDescent="0.25">
      <c r="B63" s="73"/>
      <c r="C63" s="74"/>
      <c r="D63" s="74" t="s">
        <v>22</v>
      </c>
      <c r="E63" s="74"/>
      <c r="F63" s="74"/>
      <c r="G63" s="74"/>
      <c r="H63" s="74" t="str">
        <f>H55</f>
        <v>m2</v>
      </c>
      <c r="I63" s="80"/>
      <c r="J63" s="74"/>
      <c r="K63" s="80">
        <f>K55</f>
        <v>0</v>
      </c>
      <c r="L63" s="74"/>
      <c r="M63" s="76" t="e">
        <f>O63/K55</f>
        <v>#DIV/0!</v>
      </c>
      <c r="N63" s="74"/>
      <c r="O63" s="76">
        <f>SUM(O56:O62)</f>
        <v>0</v>
      </c>
      <c r="P63" s="75"/>
    </row>
    <row r="64" spans="2:18" ht="5.0999999999999996" customHeight="1" thickBot="1" x14ac:dyDescent="0.3">
      <c r="B64" s="12"/>
      <c r="C64" s="13"/>
      <c r="D64" s="13"/>
      <c r="E64" s="13"/>
      <c r="F64" s="13"/>
      <c r="G64" s="13"/>
      <c r="H64" s="13"/>
      <c r="I64" s="15"/>
      <c r="J64" s="13"/>
      <c r="K64" s="15"/>
      <c r="L64" s="13"/>
      <c r="M64" s="13"/>
      <c r="N64" s="13"/>
      <c r="O64" s="13"/>
      <c r="P64" s="14"/>
    </row>
    <row r="65" spans="2:18" ht="30" customHeight="1" thickBot="1" x14ac:dyDescent="0.3"/>
    <row r="66" spans="2:18" ht="5.0999999999999996" customHeight="1" x14ac:dyDescent="0.25">
      <c r="B66" s="30"/>
      <c r="C66" s="31"/>
      <c r="D66" s="32"/>
      <c r="E66" s="32"/>
      <c r="F66" s="32"/>
      <c r="G66" s="32"/>
      <c r="H66" s="32"/>
      <c r="I66" s="77"/>
      <c r="J66" s="32"/>
      <c r="K66" s="77"/>
      <c r="L66" s="32"/>
      <c r="M66" s="32"/>
      <c r="N66" s="32"/>
      <c r="O66" s="32"/>
      <c r="P66" s="33"/>
    </row>
    <row r="67" spans="2:18" x14ac:dyDescent="0.25">
      <c r="B67" s="34"/>
      <c r="C67" s="35" t="s">
        <v>290</v>
      </c>
      <c r="D67" s="36"/>
      <c r="E67" s="36"/>
      <c r="F67" s="36"/>
      <c r="G67" s="36"/>
      <c r="I67" s="44"/>
      <c r="K67" s="44"/>
      <c r="L67" s="36"/>
      <c r="M67" s="1"/>
      <c r="N67" s="1"/>
      <c r="O67" s="71" t="s">
        <v>62</v>
      </c>
      <c r="P67" s="37"/>
      <c r="R67" s="105" t="s">
        <v>137</v>
      </c>
    </row>
    <row r="68" spans="2:18" ht="15.75" thickBot="1" x14ac:dyDescent="0.3">
      <c r="B68" s="68"/>
      <c r="C68" s="48" t="s">
        <v>56</v>
      </c>
      <c r="D68" s="48" t="s">
        <v>55</v>
      </c>
      <c r="E68" s="50"/>
      <c r="F68" s="48"/>
      <c r="G68" s="48"/>
      <c r="H68" s="48" t="s">
        <v>107</v>
      </c>
      <c r="I68" s="78" t="s">
        <v>108</v>
      </c>
      <c r="J68" s="69"/>
      <c r="K68" s="82" t="s">
        <v>110</v>
      </c>
      <c r="L68" s="48"/>
      <c r="M68" s="48" t="s">
        <v>109</v>
      </c>
      <c r="N68" s="48"/>
      <c r="O68" s="48" t="s">
        <v>19</v>
      </c>
      <c r="P68" s="70"/>
      <c r="R68" t="s">
        <v>418</v>
      </c>
    </row>
    <row r="69" spans="2:18" x14ac:dyDescent="0.25">
      <c r="B69" s="6"/>
      <c r="C69" s="1"/>
      <c r="D69" s="1" t="s">
        <v>434</v>
      </c>
      <c r="E69" s="1"/>
      <c r="F69" s="1"/>
      <c r="G69" s="1"/>
      <c r="H69" s="1" t="s">
        <v>59</v>
      </c>
      <c r="I69" s="79"/>
      <c r="J69" s="72"/>
      <c r="K69" s="79">
        <f>(SUM(Input!G46)*1.16)</f>
        <v>0</v>
      </c>
      <c r="L69" s="1"/>
      <c r="N69" s="1"/>
      <c r="O69" s="57"/>
      <c r="P69" s="8"/>
      <c r="R69" t="s">
        <v>279</v>
      </c>
    </row>
    <row r="70" spans="2:18" x14ac:dyDescent="0.25">
      <c r="B70" s="6"/>
      <c r="C70" s="1"/>
      <c r="D70" s="11" t="str">
        <f>Basisgegevens!$D$13</f>
        <v>grondwerker</v>
      </c>
      <c r="E70" s="1"/>
      <c r="F70" s="1"/>
      <c r="G70" s="1"/>
      <c r="H70" s="1" t="s">
        <v>111</v>
      </c>
      <c r="I70" s="79">
        <v>200</v>
      </c>
      <c r="J70" s="72"/>
      <c r="K70" s="79">
        <f>$K$69/I70</f>
        <v>0</v>
      </c>
      <c r="L70" s="1"/>
      <c r="M70" s="57">
        <f>Basisgegevens!$M$13</f>
        <v>35</v>
      </c>
      <c r="N70" s="1"/>
      <c r="O70" s="57">
        <f>K70*M70</f>
        <v>0</v>
      </c>
      <c r="P70" s="8"/>
    </row>
    <row r="71" spans="2:18" x14ac:dyDescent="0.25">
      <c r="B71" s="6"/>
      <c r="C71" s="1"/>
      <c r="D71" s="11" t="str">
        <f>Basisgegevens!$D$39</f>
        <v>wiellaadschop 2 m³</v>
      </c>
      <c r="E71" s="1"/>
      <c r="F71" s="1"/>
      <c r="G71" s="1"/>
      <c r="H71" s="1" t="s">
        <v>111</v>
      </c>
      <c r="I71" s="79">
        <v>200</v>
      </c>
      <c r="J71" s="72"/>
      <c r="K71" s="79">
        <f>$K$69/I71</f>
        <v>0</v>
      </c>
      <c r="L71" s="1"/>
      <c r="M71" s="57">
        <f>Basisgegevens!$M$39</f>
        <v>75</v>
      </c>
      <c r="N71" s="1"/>
      <c r="O71" s="57">
        <f>K71*M71</f>
        <v>0</v>
      </c>
      <c r="P71" s="8"/>
    </row>
    <row r="72" spans="2:18" x14ac:dyDescent="0.25">
      <c r="B72" s="6"/>
      <c r="C72" s="1"/>
      <c r="D72" s="10" t="s">
        <v>291</v>
      </c>
      <c r="E72" s="1"/>
      <c r="F72" s="1"/>
      <c r="G72" s="1"/>
      <c r="H72" s="66" t="s">
        <v>168</v>
      </c>
      <c r="I72" s="79"/>
      <c r="J72" s="72"/>
      <c r="K72" s="79"/>
      <c r="L72" s="1"/>
      <c r="M72" s="57"/>
      <c r="N72" s="1"/>
      <c r="O72" s="57"/>
      <c r="P72" s="8"/>
    </row>
    <row r="73" spans="2:18" x14ac:dyDescent="0.25">
      <c r="B73" s="6"/>
      <c r="C73" s="1"/>
      <c r="D73" s="114" t="str">
        <f>Basisgegevens!$D$89</f>
        <v>menggranulaat 0/31,5</v>
      </c>
      <c r="E73" s="1"/>
      <c r="F73" s="1"/>
      <c r="G73" s="1"/>
      <c r="H73" s="66" t="s">
        <v>168</v>
      </c>
      <c r="I73" s="79">
        <v>1</v>
      </c>
      <c r="J73" s="72"/>
      <c r="K73" s="79">
        <f>$K$69*0.25*1.85</f>
        <v>0</v>
      </c>
      <c r="L73" s="1"/>
      <c r="M73" s="115">
        <f>Basisgegevens!$M$89</f>
        <v>5.25</v>
      </c>
      <c r="N73" s="1"/>
      <c r="O73" s="57">
        <f>K73*M73</f>
        <v>0</v>
      </c>
      <c r="P73" s="8"/>
    </row>
    <row r="74" spans="2:18" x14ac:dyDescent="0.25">
      <c r="B74" s="6"/>
      <c r="C74" s="1"/>
      <c r="D74" s="10" t="s">
        <v>294</v>
      </c>
      <c r="E74" s="1"/>
      <c r="F74" s="1"/>
      <c r="G74" s="1"/>
      <c r="H74" s="66" t="s">
        <v>59</v>
      </c>
      <c r="I74" s="79"/>
      <c r="J74" s="72"/>
      <c r="K74" s="79"/>
      <c r="L74" s="1"/>
      <c r="M74" s="57"/>
      <c r="N74" s="1"/>
      <c r="O74" s="57"/>
      <c r="P74" s="8"/>
    </row>
    <row r="75" spans="2:18" x14ac:dyDescent="0.25">
      <c r="B75" s="6"/>
      <c r="C75" s="1"/>
      <c r="D75" s="11" t="str">
        <f>Basisgegevens!$D$13</f>
        <v>grondwerker</v>
      </c>
      <c r="E75" s="1"/>
      <c r="F75" s="1"/>
      <c r="G75" s="1"/>
      <c r="H75" s="1" t="s">
        <v>111</v>
      </c>
      <c r="I75" s="79">
        <v>150</v>
      </c>
      <c r="J75" s="72"/>
      <c r="K75" s="79">
        <f>$K$69/I75</f>
        <v>0</v>
      </c>
      <c r="L75" s="1"/>
      <c r="M75" s="57">
        <f>Basisgegevens!$M$13</f>
        <v>35</v>
      </c>
      <c r="N75" s="1"/>
      <c r="O75" s="57">
        <f>K75*M75</f>
        <v>0</v>
      </c>
      <c r="P75" s="8"/>
    </row>
    <row r="76" spans="2:18" x14ac:dyDescent="0.25">
      <c r="B76" s="6"/>
      <c r="C76" s="1"/>
      <c r="D76" s="114" t="str">
        <f>Basisgegevens!$D$42</f>
        <v>trilwals 6000 kg, excl. bediening</v>
      </c>
      <c r="E76" s="1"/>
      <c r="F76" s="1"/>
      <c r="G76" s="1"/>
      <c r="H76" s="66" t="s">
        <v>170</v>
      </c>
      <c r="I76" s="79">
        <v>1200</v>
      </c>
      <c r="J76" s="72"/>
      <c r="K76" s="79">
        <f>K69/I76*8</f>
        <v>0</v>
      </c>
      <c r="L76" s="1"/>
      <c r="M76" s="115">
        <f>Basisgegevens!$M$42</f>
        <v>60</v>
      </c>
      <c r="N76" s="1"/>
      <c r="O76" s="57">
        <f>K76*M76</f>
        <v>0</v>
      </c>
      <c r="P76" s="8"/>
      <c r="R76" s="19"/>
    </row>
    <row r="77" spans="2:18" x14ac:dyDescent="0.25">
      <c r="B77" s="73"/>
      <c r="C77" s="74"/>
      <c r="D77" s="74" t="s">
        <v>22</v>
      </c>
      <c r="E77" s="74"/>
      <c r="F77" s="74"/>
      <c r="G77" s="74"/>
      <c r="H77" s="74" t="str">
        <f>H69</f>
        <v>m2</v>
      </c>
      <c r="I77" s="80"/>
      <c r="J77" s="74"/>
      <c r="K77" s="80">
        <f>K69</f>
        <v>0</v>
      </c>
      <c r="L77" s="74"/>
      <c r="M77" s="76" t="e">
        <f>O77/K69</f>
        <v>#DIV/0!</v>
      </c>
      <c r="N77" s="74"/>
      <c r="O77" s="76">
        <f>SUM(O70:O76)</f>
        <v>0</v>
      </c>
      <c r="P77" s="75"/>
    </row>
    <row r="78" spans="2:18" ht="5.0999999999999996" customHeight="1" thickBot="1" x14ac:dyDescent="0.3">
      <c r="B78" s="12"/>
      <c r="C78" s="13"/>
      <c r="D78" s="13"/>
      <c r="E78" s="13"/>
      <c r="F78" s="13"/>
      <c r="G78" s="13"/>
      <c r="H78" s="13"/>
      <c r="I78" s="15"/>
      <c r="J78" s="13"/>
      <c r="K78" s="15"/>
      <c r="L78" s="13"/>
      <c r="M78" s="13"/>
      <c r="N78" s="13"/>
      <c r="O78" s="13"/>
      <c r="P78" s="14"/>
    </row>
  </sheetData>
  <sheetProtection selectLockedCells="1" selectUnlockedCells="1"/>
  <mergeCells count="1">
    <mergeCell ref="D6:E6"/>
  </mergeCells>
  <phoneticPr fontId="0" type="noConversion"/>
  <printOptions horizontalCentered="1"/>
  <pageMargins left="0.78740157480314965" right="0.59055118110236227" top="0.98425196850393704" bottom="0.98425196850393704" header="0.51181102362204722" footer="0.51181102362204722"/>
  <pageSetup paperSize="9" scale="85" orientation="portrait" r:id="rId1"/>
  <headerFooter alignWithMargins="0">
    <oddFooter>&amp;L&amp;G
projectnummer: 0509&amp;Rconcept: 11 april 2007
blad &amp;P van &amp;N</oddFooter>
  </headerFooter>
  <rowBreaks count="1" manualBreakCount="1">
    <brk id="50" min="1" max="15" man="1"/>
  </rowBreaks>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U527"/>
  <sheetViews>
    <sheetView showGridLines="0" zoomScaleNormal="100" zoomScaleSheetLayoutView="100" workbookViewId="0">
      <selection activeCell="Q6" sqref="Q6"/>
    </sheetView>
  </sheetViews>
  <sheetFormatPr defaultRowHeight="15" x14ac:dyDescent="0.25"/>
  <cols>
    <col min="1" max="1" width="2.7109375" style="1" customWidth="1"/>
    <col min="2" max="2" width="1.7109375" style="1" customWidth="1"/>
    <col min="3" max="5" width="8.7109375" style="1" customWidth="1"/>
    <col min="6" max="7" width="5.7109375" style="1" customWidth="1"/>
    <col min="8" max="8" width="10.7109375" style="22" customWidth="1"/>
    <col min="9" max="9" width="7.7109375" style="1" bestFit="1" customWidth="1"/>
    <col min="10" max="10" width="2.7109375" style="1" customWidth="1"/>
    <col min="11" max="11" width="10.7109375" style="1" customWidth="1"/>
    <col min="12" max="12" width="2.7109375" style="1" customWidth="1"/>
    <col min="13" max="13" width="15.7109375" style="1" customWidth="1"/>
    <col min="14" max="14" width="5.7109375" style="1" customWidth="1"/>
    <col min="15" max="15" width="15.7109375" style="1" customWidth="1"/>
    <col min="16" max="16" width="1.7109375" style="1" customWidth="1"/>
    <col min="17" max="18" width="9.140625" style="1" customWidth="1"/>
    <col min="19" max="19" width="9.5703125" style="1" bestFit="1" customWidth="1"/>
    <col min="20" max="16384" width="9.140625" style="1"/>
  </cols>
  <sheetData>
    <row r="1" spans="1:19" ht="15.75" thickBot="1" x14ac:dyDescent="0.3"/>
    <row r="2" spans="1:19" ht="5.0999999999999996" customHeight="1" x14ac:dyDescent="0.25">
      <c r="A2"/>
      <c r="B2" s="3"/>
      <c r="C2" s="4"/>
      <c r="D2" s="4"/>
      <c r="E2" s="4"/>
      <c r="F2" s="4"/>
      <c r="G2" s="4"/>
      <c r="H2" s="4"/>
      <c r="I2" s="4"/>
      <c r="J2" s="107"/>
      <c r="K2" s="4"/>
      <c r="L2" s="4"/>
      <c r="M2" s="4"/>
      <c r="N2" s="4"/>
      <c r="O2" s="4"/>
      <c r="P2" s="5"/>
      <c r="Q2"/>
      <c r="R2"/>
      <c r="S2"/>
    </row>
    <row r="3" spans="1:19" ht="18.75" x14ac:dyDescent="0.3">
      <c r="A3"/>
      <c r="B3" s="6"/>
      <c r="C3" s="116" t="s">
        <v>300</v>
      </c>
      <c r="D3" s="116"/>
      <c r="E3" s="116"/>
      <c r="F3" s="116"/>
      <c r="G3" s="116"/>
      <c r="H3"/>
      <c r="I3"/>
      <c r="J3" s="106"/>
      <c r="K3"/>
      <c r="L3"/>
      <c r="M3"/>
      <c r="N3"/>
      <c r="O3"/>
      <c r="P3" s="8"/>
      <c r="Q3"/>
      <c r="R3"/>
      <c r="S3"/>
    </row>
    <row r="4" spans="1:19" x14ac:dyDescent="0.25">
      <c r="A4"/>
      <c r="B4" s="6"/>
      <c r="C4" s="28" t="s">
        <v>27</v>
      </c>
      <c r="D4" s="28"/>
      <c r="E4" s="28"/>
      <c r="F4" s="28"/>
      <c r="G4" s="28"/>
      <c r="H4" s="28"/>
      <c r="I4" s="28"/>
      <c r="J4" s="28"/>
      <c r="K4" s="28"/>
      <c r="L4"/>
      <c r="M4"/>
      <c r="N4"/>
      <c r="O4"/>
      <c r="P4" s="8"/>
      <c r="Q4"/>
      <c r="R4"/>
      <c r="S4"/>
    </row>
    <row r="5" spans="1:19" ht="18.75" x14ac:dyDescent="0.3">
      <c r="A5"/>
      <c r="B5" s="6"/>
      <c r="C5" s="116"/>
      <c r="D5"/>
      <c r="E5"/>
      <c r="F5"/>
      <c r="G5"/>
      <c r="H5"/>
      <c r="I5"/>
      <c r="J5" s="106"/>
      <c r="K5"/>
      <c r="L5"/>
      <c r="M5"/>
      <c r="N5"/>
      <c r="O5"/>
      <c r="P5" s="8"/>
      <c r="Q5"/>
      <c r="R5"/>
      <c r="S5"/>
    </row>
    <row r="6" spans="1:19" x14ac:dyDescent="0.25">
      <c r="A6"/>
      <c r="B6" s="6"/>
      <c r="C6" s="300" t="s">
        <v>1</v>
      </c>
      <c r="D6" s="440">
        <f>Samenvatting!E6</f>
        <v>43186</v>
      </c>
      <c r="E6" s="440">
        <v>0</v>
      </c>
      <c r="F6"/>
      <c r="G6"/>
      <c r="H6"/>
      <c r="I6"/>
      <c r="J6" s="106"/>
      <c r="K6"/>
      <c r="L6"/>
      <c r="M6"/>
      <c r="N6"/>
      <c r="O6"/>
      <c r="P6" s="8"/>
      <c r="Q6"/>
      <c r="R6"/>
      <c r="S6"/>
    </row>
    <row r="7" spans="1:19" x14ac:dyDescent="0.25">
      <c r="A7"/>
      <c r="B7" s="6"/>
      <c r="C7" s="301" t="s">
        <v>26</v>
      </c>
      <c r="D7" s="302">
        <f>Samenvatting!E7</f>
        <v>0</v>
      </c>
      <c r="E7" s="302"/>
      <c r="F7"/>
      <c r="G7"/>
      <c r="H7"/>
      <c r="I7"/>
      <c r="J7" s="106"/>
      <c r="K7"/>
      <c r="L7"/>
      <c r="M7"/>
      <c r="N7"/>
      <c r="O7"/>
      <c r="P7" s="8"/>
      <c r="Q7"/>
      <c r="R7"/>
      <c r="S7"/>
    </row>
    <row r="8" spans="1:19" ht="5.0999999999999996" customHeight="1" thickBot="1" x14ac:dyDescent="0.3">
      <c r="A8"/>
      <c r="B8" s="12"/>
      <c r="C8" s="15"/>
      <c r="D8" s="13"/>
      <c r="E8" s="13"/>
      <c r="F8" s="13"/>
      <c r="G8" s="13"/>
      <c r="H8" s="13"/>
      <c r="I8" s="13"/>
      <c r="J8" s="108"/>
      <c r="K8" s="13"/>
      <c r="L8" s="13"/>
      <c r="M8" s="13"/>
      <c r="N8" s="13"/>
      <c r="O8" s="13"/>
      <c r="P8" s="14"/>
      <c r="Q8"/>
      <c r="R8"/>
      <c r="S8"/>
    </row>
    <row r="9" spans="1:19" ht="30" customHeight="1" thickBot="1" x14ac:dyDescent="0.3"/>
    <row r="10" spans="1:19" ht="5.0999999999999996" customHeight="1" x14ac:dyDescent="0.25">
      <c r="B10" s="3"/>
      <c r="C10" s="4"/>
      <c r="D10" s="4"/>
      <c r="E10" s="4"/>
      <c r="F10" s="4"/>
      <c r="G10" s="4"/>
      <c r="H10" s="55"/>
      <c r="I10" s="4"/>
      <c r="J10" s="4"/>
      <c r="K10" s="4"/>
      <c r="L10" s="4"/>
      <c r="M10" s="4"/>
      <c r="N10" s="4"/>
      <c r="O10" s="4"/>
      <c r="P10" s="5"/>
      <c r="Q10"/>
      <c r="R10"/>
    </row>
    <row r="11" spans="1:19" x14ac:dyDescent="0.25">
      <c r="B11" s="34"/>
      <c r="C11" s="94"/>
      <c r="D11" s="36"/>
      <c r="E11" s="36"/>
      <c r="F11" s="36"/>
      <c r="G11" s="36"/>
      <c r="H11" s="36"/>
      <c r="I11" s="44"/>
      <c r="J11" s="36"/>
      <c r="K11" s="44"/>
      <c r="L11" s="36"/>
      <c r="M11" s="36"/>
      <c r="N11" s="36"/>
      <c r="O11" s="36"/>
      <c r="P11" s="37"/>
      <c r="Q11"/>
      <c r="R11" s="105" t="s">
        <v>137</v>
      </c>
    </row>
    <row r="12" spans="1:19" x14ac:dyDescent="0.25">
      <c r="B12" s="34"/>
      <c r="C12" s="35" t="s">
        <v>192</v>
      </c>
      <c r="D12" s="36"/>
      <c r="E12" s="36"/>
      <c r="F12" s="36"/>
      <c r="G12" s="36"/>
      <c r="H12"/>
      <c r="I12" s="44"/>
      <c r="J12"/>
      <c r="K12" s="44"/>
      <c r="L12" s="36"/>
      <c r="M12" s="113"/>
      <c r="O12" s="71" t="s">
        <v>62</v>
      </c>
      <c r="P12" s="37"/>
      <c r="Q12"/>
      <c r="R12" t="s">
        <v>195</v>
      </c>
    </row>
    <row r="13" spans="1:19" ht="15.75" thickBot="1" x14ac:dyDescent="0.3">
      <c r="B13" s="68"/>
      <c r="C13" s="48" t="s">
        <v>56</v>
      </c>
      <c r="D13" s="48" t="s">
        <v>55</v>
      </c>
      <c r="E13" s="50"/>
      <c r="F13" s="48"/>
      <c r="G13" s="48"/>
      <c r="H13" s="48" t="s">
        <v>107</v>
      </c>
      <c r="I13" s="78" t="s">
        <v>108</v>
      </c>
      <c r="J13" s="69"/>
      <c r="K13" s="82" t="s">
        <v>110</v>
      </c>
      <c r="L13" s="48"/>
      <c r="M13" s="48" t="s">
        <v>109</v>
      </c>
      <c r="N13" s="48"/>
      <c r="O13" s="48" t="s">
        <v>19</v>
      </c>
      <c r="P13" s="70"/>
      <c r="Q13"/>
      <c r="R13" s="1" t="s">
        <v>194</v>
      </c>
    </row>
    <row r="14" spans="1:19" x14ac:dyDescent="0.25">
      <c r="B14" s="84"/>
      <c r="C14" s="85"/>
      <c r="D14" s="86" t="s">
        <v>193</v>
      </c>
      <c r="E14" s="85"/>
      <c r="F14" s="85"/>
      <c r="G14" s="85"/>
      <c r="H14" s="86" t="s">
        <v>59</v>
      </c>
      <c r="I14" s="89"/>
      <c r="J14" s="9"/>
      <c r="K14" s="87">
        <f>SUM(Input!$G$36,Input!$G$37,Input!$G$38,Input!$G$39)</f>
        <v>0</v>
      </c>
      <c r="L14" s="86"/>
      <c r="M14" s="86"/>
      <c r="N14" s="86"/>
      <c r="O14" s="86"/>
      <c r="P14" s="99"/>
      <c r="Q14"/>
      <c r="R14" t="s">
        <v>181</v>
      </c>
    </row>
    <row r="15" spans="1:19" x14ac:dyDescent="0.25">
      <c r="B15" s="84"/>
      <c r="C15" s="85"/>
      <c r="D15" s="11" t="str">
        <f>Basisgegevens!$D$36</f>
        <v>hydraulische rupskraan 1 m³</v>
      </c>
      <c r="E15" s="85"/>
      <c r="F15" s="85"/>
      <c r="G15" s="85"/>
      <c r="H15" s="86" t="s">
        <v>111</v>
      </c>
      <c r="I15" s="87">
        <v>70</v>
      </c>
      <c r="J15" s="9"/>
      <c r="K15" s="87">
        <f>K14/I15</f>
        <v>0</v>
      </c>
      <c r="L15" s="86"/>
      <c r="M15" s="98">
        <f>Basisgegevens!$M$36</f>
        <v>70</v>
      </c>
      <c r="N15" s="86"/>
      <c r="O15" s="81">
        <f>K15*M15</f>
        <v>0</v>
      </c>
      <c r="P15" s="99"/>
      <c r="Q15"/>
      <c r="R15" t="s">
        <v>252</v>
      </c>
    </row>
    <row r="16" spans="1:19" x14ac:dyDescent="0.25">
      <c r="B16" s="84"/>
      <c r="C16" s="85"/>
      <c r="D16" s="11" t="str">
        <f>Basisgegevens!$D$38</f>
        <v>wiellaadschop 1 m³</v>
      </c>
      <c r="E16" s="85"/>
      <c r="F16" s="85"/>
      <c r="G16" s="85"/>
      <c r="H16" s="86" t="s">
        <v>111</v>
      </c>
      <c r="I16" s="87">
        <v>140</v>
      </c>
      <c r="J16" s="9"/>
      <c r="K16" s="87">
        <f>K14/I16</f>
        <v>0</v>
      </c>
      <c r="L16" s="86"/>
      <c r="M16" s="98">
        <f>Basisgegevens!$M$37</f>
        <v>80</v>
      </c>
      <c r="N16" s="86"/>
      <c r="O16" s="81">
        <f>K16*M16</f>
        <v>0</v>
      </c>
      <c r="P16" s="99"/>
      <c r="Q16"/>
      <c r="R16"/>
    </row>
    <row r="17" spans="2:18" customFormat="1" x14ac:dyDescent="0.25">
      <c r="B17" s="84"/>
      <c r="C17" s="85"/>
      <c r="D17" s="45" t="str">
        <f>Basisgegevens!$D$13</f>
        <v>grondwerker</v>
      </c>
      <c r="E17" s="85"/>
      <c r="F17" s="85"/>
      <c r="G17" s="85"/>
      <c r="H17" s="100" t="s">
        <v>111</v>
      </c>
      <c r="I17" s="90">
        <v>85</v>
      </c>
      <c r="J17" s="9"/>
      <c r="K17" s="87">
        <f>K14/I17</f>
        <v>0</v>
      </c>
      <c r="L17" s="86"/>
      <c r="M17" s="98">
        <f>Basisgegevens!$M$13</f>
        <v>35</v>
      </c>
      <c r="N17" s="86"/>
      <c r="O17" s="81">
        <f>K17*M17</f>
        <v>0</v>
      </c>
      <c r="P17" s="99"/>
    </row>
    <row r="18" spans="2:18" customFormat="1" x14ac:dyDescent="0.25">
      <c r="B18" s="84"/>
      <c r="C18" s="85"/>
      <c r="D18" s="86" t="s">
        <v>184</v>
      </c>
      <c r="E18" s="85"/>
      <c r="F18" s="85"/>
      <c r="G18" s="85"/>
      <c r="H18" s="100" t="s">
        <v>135</v>
      </c>
      <c r="I18" s="90"/>
      <c r="J18" s="9"/>
      <c r="K18" s="87"/>
      <c r="L18" s="86"/>
      <c r="M18" s="98"/>
      <c r="N18" s="86"/>
      <c r="O18" s="81"/>
      <c r="P18" s="99"/>
    </row>
    <row r="19" spans="2:18" customFormat="1" x14ac:dyDescent="0.25">
      <c r="B19" s="84"/>
      <c r="C19" s="85"/>
      <c r="D19" s="11" t="str">
        <f>Basisgegevens!$D$38</f>
        <v>wiellaadschop 1 m³</v>
      </c>
      <c r="E19" s="85"/>
      <c r="F19" s="85"/>
      <c r="G19" s="85"/>
      <c r="H19" s="86" t="s">
        <v>111</v>
      </c>
      <c r="I19" s="87">
        <v>125</v>
      </c>
      <c r="J19" s="9"/>
      <c r="K19" s="87">
        <f>K14/I19/5</f>
        <v>0</v>
      </c>
      <c r="L19" s="86"/>
      <c r="M19" s="98">
        <f>Basisgegevens!$M$38</f>
        <v>67.5</v>
      </c>
      <c r="N19" s="86"/>
      <c r="O19" s="81">
        <f>K19*M19</f>
        <v>0</v>
      </c>
      <c r="P19" s="99"/>
    </row>
    <row r="20" spans="2:18" customFormat="1" x14ac:dyDescent="0.25">
      <c r="B20" s="84"/>
      <c r="C20" s="85"/>
      <c r="D20" s="45" t="str">
        <f>Basisgegevens!$D$13</f>
        <v>grondwerker</v>
      </c>
      <c r="E20" s="85"/>
      <c r="F20" s="85"/>
      <c r="G20" s="85"/>
      <c r="H20" s="100" t="s">
        <v>111</v>
      </c>
      <c r="I20" s="90">
        <v>125</v>
      </c>
      <c r="J20" s="9"/>
      <c r="K20" s="87">
        <f>K14/I20/5</f>
        <v>0</v>
      </c>
      <c r="L20" s="86"/>
      <c r="M20" s="98">
        <f>Basisgegevens!$M$13</f>
        <v>35</v>
      </c>
      <c r="N20" s="86"/>
      <c r="O20" s="81">
        <f>K20*M20</f>
        <v>0</v>
      </c>
      <c r="P20" s="99"/>
    </row>
    <row r="21" spans="2:18" customFormat="1" x14ac:dyDescent="0.25">
      <c r="B21" s="84"/>
      <c r="C21" s="85"/>
      <c r="D21" s="86" t="s">
        <v>197</v>
      </c>
      <c r="E21" s="85"/>
      <c r="F21" s="85"/>
      <c r="G21" s="85"/>
      <c r="H21" s="100"/>
      <c r="I21" s="90"/>
      <c r="J21" s="9"/>
      <c r="K21" s="87"/>
      <c r="L21" s="86"/>
      <c r="M21" s="98"/>
      <c r="N21" s="86"/>
      <c r="O21" s="81"/>
      <c r="P21" s="99"/>
    </row>
    <row r="22" spans="2:18" x14ac:dyDescent="0.25">
      <c r="B22" s="84"/>
      <c r="C22" s="85"/>
      <c r="D22" s="45" t="str">
        <f>Basisgegevens!$D$25</f>
        <v>vrachtauto 6x6 12 m³</v>
      </c>
      <c r="E22" s="85"/>
      <c r="F22" s="85"/>
      <c r="G22" s="85"/>
      <c r="H22" s="100" t="s">
        <v>111</v>
      </c>
      <c r="I22" s="90">
        <f>12/2.25</f>
        <v>5.333333333333333</v>
      </c>
      <c r="J22" s="9"/>
      <c r="K22" s="87">
        <f>K23/I22</f>
        <v>0</v>
      </c>
      <c r="L22" s="86"/>
      <c r="M22" s="88">
        <f>Basisgegevens!$M$25</f>
        <v>55</v>
      </c>
      <c r="N22" s="86"/>
      <c r="O22" s="81">
        <f>M22*K22</f>
        <v>0</v>
      </c>
      <c r="P22" s="99"/>
      <c r="Q22"/>
      <c r="R22"/>
    </row>
    <row r="23" spans="2:18" customFormat="1" x14ac:dyDescent="0.25">
      <c r="B23" s="84"/>
      <c r="C23" s="85"/>
      <c r="D23" s="45" t="str">
        <f>Basisgegevens!$D$96</f>
        <v>stortkosten asfaltschollen</v>
      </c>
      <c r="E23" s="85"/>
      <c r="F23" s="85"/>
      <c r="G23" s="85"/>
      <c r="H23" s="100" t="s">
        <v>168</v>
      </c>
      <c r="I23" s="90">
        <v>1</v>
      </c>
      <c r="J23" s="9"/>
      <c r="K23" s="87">
        <f>(K14*0.14*2.25)</f>
        <v>0</v>
      </c>
      <c r="L23" s="86"/>
      <c r="M23" s="88">
        <f>Basisgegevens!$M$96</f>
        <v>12</v>
      </c>
      <c r="N23" s="86"/>
      <c r="O23" s="81">
        <f>M23*K23</f>
        <v>0</v>
      </c>
      <c r="P23" s="99"/>
    </row>
    <row r="24" spans="2:18" x14ac:dyDescent="0.25">
      <c r="B24" s="84"/>
      <c r="C24" s="85"/>
      <c r="D24" s="86" t="s">
        <v>196</v>
      </c>
      <c r="E24" s="85"/>
      <c r="F24" s="85"/>
      <c r="G24" s="85"/>
      <c r="H24" s="100" t="s">
        <v>59</v>
      </c>
      <c r="I24" s="17"/>
      <c r="J24" s="9"/>
      <c r="K24" s="87"/>
      <c r="L24" s="86"/>
      <c r="M24" s="86"/>
      <c r="N24" s="86"/>
      <c r="O24" s="86"/>
      <c r="P24" s="99"/>
      <c r="Q24"/>
      <c r="R24"/>
    </row>
    <row r="25" spans="2:18" x14ac:dyDescent="0.25">
      <c r="B25" s="84"/>
      <c r="C25" s="85"/>
      <c r="D25" s="45" t="str">
        <f>Basisgegevens!$D$25</f>
        <v>vrachtauto 6x6 12 m³</v>
      </c>
      <c r="E25" s="85"/>
      <c r="F25" s="85"/>
      <c r="G25" s="85"/>
      <c r="H25" s="100" t="s">
        <v>111</v>
      </c>
      <c r="I25" s="90">
        <f>12*2.25</f>
        <v>27</v>
      </c>
      <c r="J25" s="9"/>
      <c r="K25" s="87">
        <f>K26/I25</f>
        <v>0</v>
      </c>
      <c r="L25" s="86"/>
      <c r="M25" s="88">
        <f>Basisgegevens!$M$25</f>
        <v>55</v>
      </c>
      <c r="N25" s="86"/>
      <c r="O25" s="81">
        <f>M25*K25</f>
        <v>0</v>
      </c>
      <c r="P25" s="99"/>
      <c r="Q25"/>
      <c r="R25"/>
    </row>
    <row r="26" spans="2:18" x14ac:dyDescent="0.25">
      <c r="B26" s="84"/>
      <c r="C26" s="85"/>
      <c r="D26" s="45" t="str">
        <f>Basisgegevens!$D$94</f>
        <v>stortkosten betonpuin/steenachtigmateriaal</v>
      </c>
      <c r="E26" s="85"/>
      <c r="F26" s="85"/>
      <c r="G26" s="85"/>
      <c r="H26" s="100" t="s">
        <v>168</v>
      </c>
      <c r="I26" s="90">
        <v>1</v>
      </c>
      <c r="J26" s="9"/>
      <c r="K26" s="87">
        <f>(K14/5*2*0.04)</f>
        <v>0</v>
      </c>
      <c r="L26" s="86"/>
      <c r="M26" s="88">
        <f>Basisgegevens!$M$94</f>
        <v>5.75</v>
      </c>
      <c r="N26" s="86"/>
      <c r="O26" s="81">
        <f>M26*K26</f>
        <v>0</v>
      </c>
      <c r="P26" s="99"/>
      <c r="Q26"/>
      <c r="R26"/>
    </row>
    <row r="27" spans="2:18" x14ac:dyDescent="0.25">
      <c r="B27" s="73"/>
      <c r="C27" s="83"/>
      <c r="D27" s="83" t="s">
        <v>22</v>
      </c>
      <c r="E27" s="83"/>
      <c r="F27" s="83"/>
      <c r="G27" s="83"/>
      <c r="H27" s="83" t="str">
        <f>H14</f>
        <v>m2</v>
      </c>
      <c r="I27" s="80"/>
      <c r="J27" s="83"/>
      <c r="K27" s="80">
        <f>K14</f>
        <v>0</v>
      </c>
      <c r="L27" s="83"/>
      <c r="M27" s="103" t="e">
        <f>O27/K14</f>
        <v>#DIV/0!</v>
      </c>
      <c r="N27" s="83"/>
      <c r="O27" s="103">
        <f>SUM(O15:O26)</f>
        <v>0</v>
      </c>
      <c r="P27" s="104"/>
      <c r="Q27"/>
      <c r="R27"/>
    </row>
    <row r="28" spans="2:18" ht="5.0999999999999996" customHeight="1" thickBot="1" x14ac:dyDescent="0.3">
      <c r="B28" s="12"/>
      <c r="C28" s="13"/>
      <c r="D28" s="13"/>
      <c r="E28" s="13"/>
      <c r="F28" s="13"/>
      <c r="G28" s="13"/>
      <c r="H28" s="13"/>
      <c r="I28" s="15"/>
      <c r="J28" s="13"/>
      <c r="K28" s="15"/>
      <c r="L28" s="13"/>
      <c r="M28" s="13"/>
      <c r="N28" s="13"/>
      <c r="O28" s="13"/>
      <c r="P28" s="14"/>
      <c r="Q28"/>
      <c r="R28"/>
    </row>
    <row r="29" spans="2:18" ht="30" customHeight="1" thickBot="1" x14ac:dyDescent="0.3"/>
    <row r="30" spans="2:18" ht="5.0999999999999996" customHeight="1" x14ac:dyDescent="0.25">
      <c r="B30" s="3"/>
      <c r="C30" s="4"/>
      <c r="D30" s="4"/>
      <c r="E30" s="4"/>
      <c r="F30" s="4"/>
      <c r="G30" s="4"/>
      <c r="H30" s="55"/>
      <c r="I30" s="4"/>
      <c r="J30" s="4"/>
      <c r="K30" s="4"/>
      <c r="L30" s="4"/>
      <c r="M30" s="4"/>
      <c r="N30" s="4"/>
      <c r="O30" s="4"/>
      <c r="P30" s="5"/>
      <c r="Q30"/>
      <c r="R30"/>
    </row>
    <row r="31" spans="2:18" x14ac:dyDescent="0.25">
      <c r="B31" s="34"/>
      <c r="C31" s="94"/>
      <c r="D31" s="36"/>
      <c r="E31" s="36"/>
      <c r="F31" s="36"/>
      <c r="G31" s="36"/>
      <c r="H31" s="36"/>
      <c r="I31" s="44"/>
      <c r="J31" s="36"/>
      <c r="K31" s="44"/>
      <c r="L31" s="36"/>
      <c r="M31" s="36"/>
      <c r="N31" s="36"/>
      <c r="O31" s="36"/>
      <c r="P31" s="37"/>
      <c r="Q31"/>
      <c r="R31" s="105" t="s">
        <v>137</v>
      </c>
    </row>
    <row r="32" spans="2:18" x14ac:dyDescent="0.25">
      <c r="B32" s="34"/>
      <c r="C32" s="35" t="s">
        <v>201</v>
      </c>
      <c r="D32" s="36"/>
      <c r="E32" s="36"/>
      <c r="F32" s="36"/>
      <c r="G32" s="36"/>
      <c r="H32"/>
      <c r="I32" s="44"/>
      <c r="J32"/>
      <c r="K32" s="44"/>
      <c r="L32" s="36"/>
      <c r="O32" s="71" t="s">
        <v>62</v>
      </c>
      <c r="P32" s="37"/>
      <c r="Q32"/>
      <c r="R32" t="s">
        <v>195</v>
      </c>
    </row>
    <row r="33" spans="2:18" ht="15.75" thickBot="1" x14ac:dyDescent="0.3">
      <c r="B33" s="68"/>
      <c r="C33" s="48" t="s">
        <v>56</v>
      </c>
      <c r="D33" s="48" t="s">
        <v>55</v>
      </c>
      <c r="E33" s="50"/>
      <c r="F33" s="48"/>
      <c r="G33" s="48"/>
      <c r="H33" s="48" t="s">
        <v>107</v>
      </c>
      <c r="I33" s="78" t="s">
        <v>108</v>
      </c>
      <c r="J33" s="69"/>
      <c r="K33" s="82" t="s">
        <v>110</v>
      </c>
      <c r="L33" s="48"/>
      <c r="M33" s="48" t="s">
        <v>109</v>
      </c>
      <c r="N33" s="48"/>
      <c r="O33" s="48" t="s">
        <v>19</v>
      </c>
      <c r="P33" s="70"/>
      <c r="Q33"/>
      <c r="R33" s="1" t="s">
        <v>194</v>
      </c>
    </row>
    <row r="34" spans="2:18" x14ac:dyDescent="0.25">
      <c r="B34" s="84"/>
      <c r="C34" s="85"/>
      <c r="D34" s="86" t="s">
        <v>193</v>
      </c>
      <c r="E34" s="85"/>
      <c r="F34" s="85"/>
      <c r="G34" s="85"/>
      <c r="H34" s="86" t="s">
        <v>59</v>
      </c>
      <c r="I34" s="89"/>
      <c r="J34" s="9"/>
      <c r="K34" s="87">
        <f>SUM(Input!$I$36,Input!$I$37,Input!$I$38,Input!$I$39)</f>
        <v>0</v>
      </c>
      <c r="L34" s="86"/>
      <c r="M34" s="86"/>
      <c r="N34" s="86"/>
      <c r="O34" s="86"/>
      <c r="P34" s="99"/>
      <c r="Q34"/>
      <c r="R34" t="s">
        <v>181</v>
      </c>
    </row>
    <row r="35" spans="2:18" x14ac:dyDescent="0.25">
      <c r="B35" s="84"/>
      <c r="C35" s="85"/>
      <c r="D35" s="11" t="str">
        <f>Basisgegevens!$D$36</f>
        <v>hydraulische rupskraan 1 m³</v>
      </c>
      <c r="E35" s="85"/>
      <c r="F35" s="85"/>
      <c r="G35" s="85"/>
      <c r="H35" s="86" t="s">
        <v>111</v>
      </c>
      <c r="I35" s="87">
        <v>70</v>
      </c>
      <c r="J35" s="9"/>
      <c r="K35" s="87">
        <f>K34/I35</f>
        <v>0</v>
      </c>
      <c r="L35" s="86"/>
      <c r="M35" s="98">
        <f>Basisgegevens!$M$36</f>
        <v>70</v>
      </c>
      <c r="N35" s="86"/>
      <c r="O35" s="81">
        <f>K35*M35</f>
        <v>0</v>
      </c>
      <c r="P35" s="99"/>
      <c r="Q35"/>
      <c r="R35" t="s">
        <v>252</v>
      </c>
    </row>
    <row r="36" spans="2:18" x14ac:dyDescent="0.25">
      <c r="B36" s="84"/>
      <c r="C36" s="85"/>
      <c r="D36" s="11" t="str">
        <f>Basisgegevens!$D$38</f>
        <v>wiellaadschop 1 m³</v>
      </c>
      <c r="E36" s="85"/>
      <c r="F36" s="85"/>
      <c r="G36" s="85"/>
      <c r="H36" s="86" t="s">
        <v>111</v>
      </c>
      <c r="I36" s="87">
        <v>140</v>
      </c>
      <c r="J36" s="9"/>
      <c r="K36" s="87">
        <f>K34/I36</f>
        <v>0</v>
      </c>
      <c r="L36" s="86"/>
      <c r="M36" s="98">
        <f>Basisgegevens!$M$37</f>
        <v>80</v>
      </c>
      <c r="N36" s="86"/>
      <c r="O36" s="81">
        <f>K36*M36</f>
        <v>0</v>
      </c>
      <c r="P36" s="99"/>
      <c r="Q36"/>
      <c r="R36"/>
    </row>
    <row r="37" spans="2:18" customFormat="1" x14ac:dyDescent="0.25">
      <c r="B37" s="84"/>
      <c r="C37" s="85"/>
      <c r="D37" s="45" t="str">
        <f>Basisgegevens!$D$13</f>
        <v>grondwerker</v>
      </c>
      <c r="E37" s="85"/>
      <c r="F37" s="85"/>
      <c r="G37" s="85"/>
      <c r="H37" s="100" t="s">
        <v>111</v>
      </c>
      <c r="I37" s="90">
        <v>85</v>
      </c>
      <c r="J37" s="9"/>
      <c r="K37" s="87">
        <f>K34/I37</f>
        <v>0</v>
      </c>
      <c r="L37" s="86"/>
      <c r="M37" s="98">
        <f>Basisgegevens!$M$13</f>
        <v>35</v>
      </c>
      <c r="N37" s="86"/>
      <c r="O37" s="81">
        <f>K37*M37</f>
        <v>0</v>
      </c>
      <c r="P37" s="99"/>
    </row>
    <row r="38" spans="2:18" customFormat="1" x14ac:dyDescent="0.25">
      <c r="B38" s="84"/>
      <c r="C38" s="85"/>
      <c r="D38" s="86" t="s">
        <v>184</v>
      </c>
      <c r="E38" s="85"/>
      <c r="F38" s="85"/>
      <c r="G38" s="85"/>
      <c r="H38" s="100" t="s">
        <v>135</v>
      </c>
      <c r="I38" s="90"/>
      <c r="J38" s="9"/>
      <c r="K38" s="87"/>
      <c r="L38" s="86"/>
      <c r="M38" s="98"/>
      <c r="N38" s="86"/>
      <c r="O38" s="81"/>
      <c r="P38" s="99"/>
    </row>
    <row r="39" spans="2:18" customFormat="1" x14ac:dyDescent="0.25">
      <c r="B39" s="84"/>
      <c r="C39" s="85"/>
      <c r="D39" s="11" t="str">
        <f>Basisgegevens!$D$38</f>
        <v>wiellaadschop 1 m³</v>
      </c>
      <c r="E39" s="85"/>
      <c r="F39" s="85"/>
      <c r="G39" s="85"/>
      <c r="H39" s="86" t="s">
        <v>111</v>
      </c>
      <c r="I39" s="87">
        <v>125</v>
      </c>
      <c r="J39" s="9"/>
      <c r="K39" s="87">
        <f>K34/I39/5</f>
        <v>0</v>
      </c>
      <c r="L39" s="86"/>
      <c r="M39" s="98">
        <f>Basisgegevens!$M$38</f>
        <v>67.5</v>
      </c>
      <c r="N39" s="86"/>
      <c r="O39" s="81">
        <f>K39*M39</f>
        <v>0</v>
      </c>
      <c r="P39" s="99"/>
    </row>
    <row r="40" spans="2:18" customFormat="1" x14ac:dyDescent="0.25">
      <c r="B40" s="84"/>
      <c r="C40" s="85"/>
      <c r="D40" s="45" t="str">
        <f>Basisgegevens!$D$13</f>
        <v>grondwerker</v>
      </c>
      <c r="E40" s="85"/>
      <c r="F40" s="85"/>
      <c r="G40" s="85"/>
      <c r="H40" s="100" t="s">
        <v>111</v>
      </c>
      <c r="I40" s="90">
        <v>125</v>
      </c>
      <c r="J40" s="9"/>
      <c r="K40" s="87">
        <f>K34/I40/5</f>
        <v>0</v>
      </c>
      <c r="L40" s="86"/>
      <c r="M40" s="98">
        <f>Basisgegevens!$M$13</f>
        <v>35</v>
      </c>
      <c r="N40" s="86"/>
      <c r="O40" s="81">
        <f>K40*M40</f>
        <v>0</v>
      </c>
      <c r="P40" s="99"/>
    </row>
    <row r="41" spans="2:18" customFormat="1" x14ac:dyDescent="0.25">
      <c r="B41" s="84"/>
      <c r="C41" s="85"/>
      <c r="D41" s="86" t="s">
        <v>197</v>
      </c>
      <c r="E41" s="85"/>
      <c r="F41" s="85"/>
      <c r="G41" s="85"/>
      <c r="H41" s="100"/>
      <c r="I41" s="90"/>
      <c r="J41" s="9"/>
      <c r="K41" s="87"/>
      <c r="L41" s="86"/>
      <c r="M41" s="98"/>
      <c r="N41" s="86"/>
      <c r="O41" s="81"/>
      <c r="P41" s="99"/>
    </row>
    <row r="42" spans="2:18" x14ac:dyDescent="0.25">
      <c r="B42" s="84"/>
      <c r="C42" s="85"/>
      <c r="D42" s="45" t="str">
        <f>Basisgegevens!$D$25</f>
        <v>vrachtauto 6x6 12 m³</v>
      </c>
      <c r="E42" s="85"/>
      <c r="F42" s="85"/>
      <c r="G42" s="85"/>
      <c r="H42" s="100" t="s">
        <v>111</v>
      </c>
      <c r="I42" s="90">
        <f>12/2.25</f>
        <v>5.333333333333333</v>
      </c>
      <c r="J42" s="9"/>
      <c r="K42" s="87">
        <f>K43/I42</f>
        <v>0</v>
      </c>
      <c r="L42" s="86"/>
      <c r="M42" s="88">
        <f>Basisgegevens!$M$25</f>
        <v>55</v>
      </c>
      <c r="N42" s="86"/>
      <c r="O42" s="81">
        <f>M42*K42</f>
        <v>0</v>
      </c>
      <c r="P42" s="99"/>
      <c r="Q42"/>
      <c r="R42"/>
    </row>
    <row r="43" spans="2:18" customFormat="1" x14ac:dyDescent="0.25">
      <c r="B43" s="84"/>
      <c r="C43" s="85"/>
      <c r="D43" s="45" t="str">
        <f>Basisgegevens!$D$97</f>
        <v>stortkosten teerhoudende asfaltschollen</v>
      </c>
      <c r="E43" s="85"/>
      <c r="F43" s="85"/>
      <c r="G43" s="85"/>
      <c r="H43" s="100" t="s">
        <v>168</v>
      </c>
      <c r="I43" s="90">
        <v>1</v>
      </c>
      <c r="J43" s="9"/>
      <c r="K43" s="87">
        <f>(K34*0.14*2.25)</f>
        <v>0</v>
      </c>
      <c r="L43" s="86"/>
      <c r="M43" s="88">
        <f>Basisgegevens!$M$97</f>
        <v>52</v>
      </c>
      <c r="N43" s="86"/>
      <c r="O43" s="81">
        <f>M43*K43</f>
        <v>0</v>
      </c>
      <c r="P43" s="99"/>
    </row>
    <row r="44" spans="2:18" x14ac:dyDescent="0.25">
      <c r="B44" s="84"/>
      <c r="C44" s="85"/>
      <c r="D44" s="86" t="s">
        <v>196</v>
      </c>
      <c r="E44" s="85"/>
      <c r="F44" s="85"/>
      <c r="G44" s="85"/>
      <c r="H44" s="100" t="s">
        <v>59</v>
      </c>
      <c r="I44" s="17"/>
      <c r="J44" s="9"/>
      <c r="K44" s="87"/>
      <c r="L44" s="86"/>
      <c r="M44" s="86"/>
      <c r="N44" s="86"/>
      <c r="O44" s="86"/>
      <c r="P44" s="99"/>
      <c r="Q44"/>
      <c r="R44"/>
    </row>
    <row r="45" spans="2:18" x14ac:dyDescent="0.25">
      <c r="B45" s="84"/>
      <c r="C45" s="85"/>
      <c r="D45" s="45" t="str">
        <f>Basisgegevens!$D$25</f>
        <v>vrachtauto 6x6 12 m³</v>
      </c>
      <c r="E45" s="85"/>
      <c r="F45" s="85"/>
      <c r="G45" s="85"/>
      <c r="H45" s="100" t="s">
        <v>111</v>
      </c>
      <c r="I45" s="90">
        <f>12*2.25</f>
        <v>27</v>
      </c>
      <c r="J45" s="9"/>
      <c r="K45" s="87">
        <f>K46/I45</f>
        <v>0</v>
      </c>
      <c r="L45" s="86"/>
      <c r="M45" s="88">
        <f>Basisgegevens!$M$25</f>
        <v>55</v>
      </c>
      <c r="N45" s="86"/>
      <c r="O45" s="81">
        <f>M45*K45</f>
        <v>0</v>
      </c>
      <c r="P45" s="99"/>
      <c r="Q45"/>
      <c r="R45"/>
    </row>
    <row r="46" spans="2:18" x14ac:dyDescent="0.25">
      <c r="B46" s="84"/>
      <c r="C46" s="85"/>
      <c r="D46" s="45" t="str">
        <f>Basisgegevens!$D$94</f>
        <v>stortkosten betonpuin/steenachtigmateriaal</v>
      </c>
      <c r="E46" s="85"/>
      <c r="F46" s="85"/>
      <c r="G46" s="85"/>
      <c r="H46" s="100" t="s">
        <v>168</v>
      </c>
      <c r="I46" s="90">
        <v>1</v>
      </c>
      <c r="J46" s="9"/>
      <c r="K46" s="87">
        <f>(K34/5*2*0.04)</f>
        <v>0</v>
      </c>
      <c r="L46" s="86"/>
      <c r="M46" s="88">
        <f>Basisgegevens!$M$94</f>
        <v>5.75</v>
      </c>
      <c r="N46" s="86"/>
      <c r="O46" s="81">
        <f>M46*K46</f>
        <v>0</v>
      </c>
      <c r="P46" s="99"/>
      <c r="Q46"/>
      <c r="R46"/>
    </row>
    <row r="47" spans="2:18" x14ac:dyDescent="0.25">
      <c r="B47" s="73"/>
      <c r="C47" s="83"/>
      <c r="D47" s="83" t="s">
        <v>22</v>
      </c>
      <c r="E47" s="83"/>
      <c r="F47" s="83"/>
      <c r="G47" s="83"/>
      <c r="H47" s="83" t="str">
        <f>H34</f>
        <v>m2</v>
      </c>
      <c r="I47" s="80"/>
      <c r="J47" s="83"/>
      <c r="K47" s="80">
        <f>K34</f>
        <v>0</v>
      </c>
      <c r="L47" s="83"/>
      <c r="M47" s="103" t="e">
        <f>O47/K34</f>
        <v>#DIV/0!</v>
      </c>
      <c r="N47" s="83"/>
      <c r="O47" s="103">
        <f>SUM(O35:O46)</f>
        <v>0</v>
      </c>
      <c r="P47" s="104"/>
      <c r="Q47"/>
      <c r="R47"/>
    </row>
    <row r="48" spans="2:18" ht="5.0999999999999996" customHeight="1" thickBot="1" x14ac:dyDescent="0.3">
      <c r="B48" s="12"/>
      <c r="C48" s="13"/>
      <c r="D48" s="13"/>
      <c r="E48" s="13"/>
      <c r="F48" s="13"/>
      <c r="G48" s="13"/>
      <c r="H48" s="13"/>
      <c r="I48" s="15"/>
      <c r="J48" s="13"/>
      <c r="K48" s="15"/>
      <c r="L48" s="13"/>
      <c r="M48" s="13"/>
      <c r="N48" s="13"/>
      <c r="O48" s="13"/>
      <c r="P48" s="14"/>
      <c r="Q48"/>
      <c r="R48"/>
    </row>
    <row r="49" spans="1:19" ht="30" customHeight="1" thickBot="1" x14ac:dyDescent="0.3">
      <c r="A49"/>
      <c r="B49"/>
      <c r="C49" s="117"/>
      <c r="D49"/>
      <c r="E49"/>
      <c r="F49"/>
      <c r="G49"/>
      <c r="H49"/>
      <c r="I49"/>
      <c r="J49" s="106"/>
      <c r="K49"/>
      <c r="L49"/>
      <c r="M49"/>
      <c r="N49"/>
      <c r="O49"/>
      <c r="P49"/>
      <c r="Q49"/>
      <c r="R49"/>
      <c r="S49"/>
    </row>
    <row r="50" spans="1:19" ht="5.0999999999999996" customHeight="1" x14ac:dyDescent="0.25">
      <c r="B50" s="3"/>
      <c r="C50" s="4"/>
      <c r="D50" s="4"/>
      <c r="E50" s="4"/>
      <c r="F50" s="4"/>
      <c r="G50" s="4"/>
      <c r="H50" s="55"/>
      <c r="I50" s="4"/>
      <c r="J50" s="4"/>
      <c r="K50" s="4"/>
      <c r="L50" s="4"/>
      <c r="M50" s="4"/>
      <c r="N50" s="4"/>
      <c r="O50" s="4"/>
      <c r="P50" s="5"/>
      <c r="Q50"/>
      <c r="R50"/>
    </row>
    <row r="51" spans="1:19" x14ac:dyDescent="0.25">
      <c r="B51" s="34"/>
      <c r="C51" s="94"/>
      <c r="D51" s="36"/>
      <c r="E51" s="36"/>
      <c r="F51" s="36"/>
      <c r="G51" s="36"/>
      <c r="H51" s="36"/>
      <c r="I51" s="44"/>
      <c r="J51" s="36"/>
      <c r="K51" s="44"/>
      <c r="L51" s="36"/>
      <c r="M51" s="36"/>
      <c r="N51" s="36"/>
      <c r="O51" s="36"/>
      <c r="P51" s="37"/>
      <c r="Q51"/>
      <c r="R51" s="105" t="s">
        <v>137</v>
      </c>
    </row>
    <row r="52" spans="1:19" x14ac:dyDescent="0.25">
      <c r="B52" s="34"/>
      <c r="C52" s="35" t="s">
        <v>179</v>
      </c>
      <c r="D52" s="36"/>
      <c r="E52" s="36"/>
      <c r="F52" s="36"/>
      <c r="G52" s="36"/>
      <c r="H52"/>
      <c r="I52" s="44"/>
      <c r="J52"/>
      <c r="K52" s="44"/>
      <c r="L52" s="36"/>
      <c r="O52" s="71" t="s">
        <v>62</v>
      </c>
      <c r="P52" s="37"/>
      <c r="Q52"/>
      <c r="R52" t="s">
        <v>180</v>
      </c>
    </row>
    <row r="53" spans="1:19" ht="15.75" thickBot="1" x14ac:dyDescent="0.3">
      <c r="B53" s="68"/>
      <c r="C53" s="48" t="s">
        <v>56</v>
      </c>
      <c r="D53" s="48" t="s">
        <v>55</v>
      </c>
      <c r="E53" s="50"/>
      <c r="F53" s="48"/>
      <c r="G53" s="48"/>
      <c r="H53" s="48" t="s">
        <v>107</v>
      </c>
      <c r="I53" s="78" t="s">
        <v>108</v>
      </c>
      <c r="J53" s="69"/>
      <c r="K53" s="82" t="s">
        <v>110</v>
      </c>
      <c r="L53" s="48"/>
      <c r="M53" s="48" t="s">
        <v>109</v>
      </c>
      <c r="N53" s="48"/>
      <c r="O53" s="48" t="s">
        <v>19</v>
      </c>
      <c r="P53" s="70"/>
      <c r="Q53"/>
      <c r="R53" s="1" t="s">
        <v>190</v>
      </c>
    </row>
    <row r="54" spans="1:19" x14ac:dyDescent="0.25">
      <c r="B54" s="84"/>
      <c r="C54" s="85"/>
      <c r="D54" s="86" t="s">
        <v>178</v>
      </c>
      <c r="E54" s="85"/>
      <c r="F54" s="85"/>
      <c r="G54" s="85"/>
      <c r="H54" s="86" t="s">
        <v>59</v>
      </c>
      <c r="I54" s="89"/>
      <c r="J54" s="9"/>
      <c r="K54" s="87">
        <f>SUM(Input!$M$36,Input!$M$37,Input!$M$38,Input!$M$39)</f>
        <v>0</v>
      </c>
      <c r="L54" s="86"/>
      <c r="M54" s="86"/>
      <c r="N54" s="86"/>
      <c r="O54" s="86"/>
      <c r="P54" s="99"/>
      <c r="Q54"/>
      <c r="R54" t="s">
        <v>181</v>
      </c>
    </row>
    <row r="55" spans="1:19" x14ac:dyDescent="0.25">
      <c r="B55" s="84"/>
      <c r="C55" s="85"/>
      <c r="D55" s="11" t="str">
        <f>Basisgegevens!$D$38</f>
        <v>wiellaadschop 1 m³</v>
      </c>
      <c r="E55" s="85"/>
      <c r="F55" s="85"/>
      <c r="G55" s="85"/>
      <c r="H55" s="86" t="s">
        <v>111</v>
      </c>
      <c r="I55" s="87">
        <v>40</v>
      </c>
      <c r="J55" s="9"/>
      <c r="K55" s="87">
        <f>K54/I55</f>
        <v>0</v>
      </c>
      <c r="L55" s="86"/>
      <c r="M55" s="98">
        <f>Basisgegevens!$M$38</f>
        <v>67.5</v>
      </c>
      <c r="N55" s="86"/>
      <c r="O55" s="81">
        <f>K55*M55</f>
        <v>0</v>
      </c>
      <c r="P55" s="99"/>
      <c r="Q55"/>
      <c r="R55" t="s">
        <v>252</v>
      </c>
    </row>
    <row r="56" spans="1:19" customFormat="1" x14ac:dyDescent="0.25">
      <c r="B56" s="84"/>
      <c r="C56" s="85"/>
      <c r="D56" s="45" t="str">
        <f>Basisgegevens!$D$13</f>
        <v>grondwerker</v>
      </c>
      <c r="E56" s="85"/>
      <c r="F56" s="85"/>
      <c r="G56" s="85"/>
      <c r="H56" s="100" t="s">
        <v>111</v>
      </c>
      <c r="I56" s="90">
        <v>50</v>
      </c>
      <c r="J56" s="9"/>
      <c r="K56" s="87">
        <f>K54/I56</f>
        <v>0</v>
      </c>
      <c r="L56" s="86"/>
      <c r="M56" s="98">
        <f>Basisgegevens!$M$13</f>
        <v>35</v>
      </c>
      <c r="N56" s="86"/>
      <c r="O56" s="81">
        <f>K56*M56</f>
        <v>0</v>
      </c>
      <c r="P56" s="99"/>
    </row>
    <row r="57" spans="1:19" customFormat="1" x14ac:dyDescent="0.25">
      <c r="B57" s="84"/>
      <c r="C57" s="85"/>
      <c r="D57" s="86" t="s">
        <v>184</v>
      </c>
      <c r="E57" s="85"/>
      <c r="F57" s="85"/>
      <c r="G57" s="85"/>
      <c r="H57" s="100" t="s">
        <v>135</v>
      </c>
      <c r="I57" s="90"/>
      <c r="J57" s="9"/>
      <c r="K57" s="87"/>
      <c r="L57" s="86"/>
      <c r="M57" s="98"/>
      <c r="N57" s="86"/>
      <c r="O57" s="81"/>
      <c r="P57" s="99"/>
    </row>
    <row r="58" spans="1:19" customFormat="1" x14ac:dyDescent="0.25">
      <c r="B58" s="84"/>
      <c r="C58" s="85"/>
      <c r="D58" s="11" t="str">
        <f>Basisgegevens!$D$38</f>
        <v>wiellaadschop 1 m³</v>
      </c>
      <c r="E58" s="85"/>
      <c r="F58" s="85"/>
      <c r="G58" s="85"/>
      <c r="H58" s="86" t="s">
        <v>111</v>
      </c>
      <c r="I58" s="87">
        <v>40</v>
      </c>
      <c r="J58" s="9"/>
      <c r="K58" s="87">
        <f>K54/I58/5*2</f>
        <v>0</v>
      </c>
      <c r="L58" s="86"/>
      <c r="M58" s="98">
        <f>Basisgegevens!$M$38</f>
        <v>67.5</v>
      </c>
      <c r="N58" s="86"/>
      <c r="O58" s="81">
        <f>K58*M58</f>
        <v>0</v>
      </c>
      <c r="P58" s="99"/>
    </row>
    <row r="59" spans="1:19" customFormat="1" x14ac:dyDescent="0.25">
      <c r="B59" s="84"/>
      <c r="C59" s="85"/>
      <c r="D59" s="45" t="str">
        <f>Basisgegevens!$D$13</f>
        <v>grondwerker</v>
      </c>
      <c r="E59" s="85"/>
      <c r="F59" s="85"/>
      <c r="G59" s="85"/>
      <c r="H59" s="100" t="s">
        <v>111</v>
      </c>
      <c r="I59" s="90">
        <v>50</v>
      </c>
      <c r="J59" s="9"/>
      <c r="K59" s="87">
        <f>K54/I59/5*2</f>
        <v>0</v>
      </c>
      <c r="L59" s="86"/>
      <c r="M59" s="98">
        <f>Basisgegevens!$M$13</f>
        <v>35</v>
      </c>
      <c r="N59" s="86"/>
      <c r="O59" s="81">
        <f>K59*M59</f>
        <v>0</v>
      </c>
      <c r="P59" s="99"/>
    </row>
    <row r="60" spans="1:19" x14ac:dyDescent="0.25">
      <c r="B60" s="84"/>
      <c r="C60" s="85"/>
      <c r="D60" s="86" t="s">
        <v>196</v>
      </c>
      <c r="E60" s="85"/>
      <c r="F60" s="85"/>
      <c r="G60" s="85"/>
      <c r="H60" s="100" t="s">
        <v>59</v>
      </c>
      <c r="I60" s="17"/>
      <c r="J60" s="9"/>
      <c r="K60" s="87"/>
      <c r="L60" s="86"/>
      <c r="M60" s="86"/>
      <c r="N60" s="86"/>
      <c r="O60" s="86"/>
      <c r="P60" s="99"/>
      <c r="Q60"/>
      <c r="R60"/>
    </row>
    <row r="61" spans="1:19" x14ac:dyDescent="0.25">
      <c r="B61" s="84"/>
      <c r="C61" s="85"/>
      <c r="D61" s="45" t="str">
        <f>Basisgegevens!$D$25</f>
        <v>vrachtauto 6x6 12 m³</v>
      </c>
      <c r="E61" s="85"/>
      <c r="F61" s="85"/>
      <c r="G61" s="85"/>
      <c r="H61" s="100" t="s">
        <v>111</v>
      </c>
      <c r="I61" s="90">
        <f>12*2.25</f>
        <v>27</v>
      </c>
      <c r="J61" s="9"/>
      <c r="K61" s="87">
        <f>K62/I61</f>
        <v>0</v>
      </c>
      <c r="L61" s="86"/>
      <c r="M61" s="88">
        <f>Basisgegevens!$M$25</f>
        <v>55</v>
      </c>
      <c r="N61" s="86"/>
      <c r="O61" s="81">
        <f>M61*K61</f>
        <v>0</v>
      </c>
      <c r="P61" s="99"/>
      <c r="Q61"/>
      <c r="R61"/>
    </row>
    <row r="62" spans="1:19" x14ac:dyDescent="0.25">
      <c r="B62" s="84"/>
      <c r="C62" s="85"/>
      <c r="D62" s="45" t="str">
        <f>Basisgegevens!$D$94</f>
        <v>stortkosten betonpuin/steenachtigmateriaal</v>
      </c>
      <c r="E62" s="85"/>
      <c r="F62" s="85"/>
      <c r="G62" s="85"/>
      <c r="H62" s="100" t="s">
        <v>168</v>
      </c>
      <c r="I62" s="90">
        <v>1</v>
      </c>
      <c r="J62" s="9"/>
      <c r="K62" s="87">
        <f>(K54*0.08*2.25)+(K54/5*2*0.08)</f>
        <v>0</v>
      </c>
      <c r="L62" s="86"/>
      <c r="M62" s="88">
        <f>Basisgegevens!$M$94</f>
        <v>5.75</v>
      </c>
      <c r="N62" s="86"/>
      <c r="O62" s="81">
        <f>M62*K62</f>
        <v>0</v>
      </c>
      <c r="P62" s="99"/>
      <c r="Q62"/>
      <c r="R62"/>
    </row>
    <row r="63" spans="1:19" x14ac:dyDescent="0.25">
      <c r="B63" s="73"/>
      <c r="C63" s="83"/>
      <c r="D63" s="83" t="s">
        <v>22</v>
      </c>
      <c r="E63" s="83"/>
      <c r="F63" s="83"/>
      <c r="G63" s="83"/>
      <c r="H63" s="83" t="str">
        <f>H54</f>
        <v>m2</v>
      </c>
      <c r="I63" s="80"/>
      <c r="J63" s="83"/>
      <c r="K63" s="80">
        <f>K54</f>
        <v>0</v>
      </c>
      <c r="L63" s="83"/>
      <c r="M63" s="103" t="e">
        <f>O63/K54</f>
        <v>#DIV/0!</v>
      </c>
      <c r="N63" s="83"/>
      <c r="O63" s="103">
        <f>SUM(O55:O62)</f>
        <v>0</v>
      </c>
      <c r="P63" s="104"/>
      <c r="Q63"/>
      <c r="R63"/>
    </row>
    <row r="64" spans="1:19" ht="5.0999999999999996" customHeight="1" thickBot="1" x14ac:dyDescent="0.3">
      <c r="B64" s="12"/>
      <c r="C64" s="13"/>
      <c r="D64" s="13"/>
      <c r="E64" s="13"/>
      <c r="F64" s="13"/>
      <c r="G64" s="13"/>
      <c r="H64" s="13"/>
      <c r="I64" s="15"/>
      <c r="J64" s="13"/>
      <c r="K64" s="15"/>
      <c r="L64" s="13"/>
      <c r="M64" s="13"/>
      <c r="N64" s="13"/>
      <c r="O64" s="13"/>
      <c r="P64" s="14"/>
      <c r="Q64"/>
      <c r="R64"/>
    </row>
    <row r="65" spans="2:18" ht="30" customHeight="1" thickBot="1" x14ac:dyDescent="0.3"/>
    <row r="66" spans="2:18" ht="5.0999999999999996" customHeight="1" x14ac:dyDescent="0.25">
      <c r="B66" s="3"/>
      <c r="C66" s="4"/>
      <c r="D66" s="4"/>
      <c r="E66" s="4"/>
      <c r="F66" s="4"/>
      <c r="G66" s="4"/>
      <c r="H66" s="55"/>
      <c r="I66" s="4"/>
      <c r="J66" s="4"/>
      <c r="K66" s="4"/>
      <c r="L66" s="4"/>
      <c r="M66" s="4"/>
      <c r="N66" s="4"/>
      <c r="O66" s="4"/>
      <c r="P66" s="5"/>
      <c r="Q66"/>
      <c r="R66"/>
    </row>
    <row r="67" spans="2:18" x14ac:dyDescent="0.25">
      <c r="B67" s="34"/>
      <c r="C67" s="94"/>
      <c r="D67" s="36"/>
      <c r="E67" s="36"/>
      <c r="F67" s="36"/>
      <c r="G67" s="36"/>
      <c r="H67" s="36"/>
      <c r="I67" s="44"/>
      <c r="J67" s="36"/>
      <c r="K67" s="44"/>
      <c r="L67" s="36"/>
      <c r="M67" s="36"/>
      <c r="N67" s="36"/>
      <c r="O67" s="36"/>
      <c r="P67" s="37"/>
      <c r="Q67"/>
      <c r="R67" s="105" t="s">
        <v>137</v>
      </c>
    </row>
    <row r="68" spans="2:18" x14ac:dyDescent="0.25">
      <c r="B68" s="34"/>
      <c r="C68" s="35" t="s">
        <v>182</v>
      </c>
      <c r="D68" s="36"/>
      <c r="E68" s="36"/>
      <c r="F68" s="36"/>
      <c r="G68" s="36"/>
      <c r="H68"/>
      <c r="I68" s="44"/>
      <c r="J68"/>
      <c r="K68" s="44"/>
      <c r="L68" s="36"/>
      <c r="O68" s="71" t="s">
        <v>62</v>
      </c>
      <c r="P68" s="37"/>
      <c r="Q68"/>
      <c r="R68" t="s">
        <v>183</v>
      </c>
    </row>
    <row r="69" spans="2:18" ht="15.75" thickBot="1" x14ac:dyDescent="0.3">
      <c r="B69" s="68"/>
      <c r="C69" s="48" t="s">
        <v>56</v>
      </c>
      <c r="D69" s="48" t="s">
        <v>55</v>
      </c>
      <c r="E69" s="50"/>
      <c r="F69" s="48"/>
      <c r="G69" s="48"/>
      <c r="H69" s="48" t="s">
        <v>107</v>
      </c>
      <c r="I69" s="78" t="s">
        <v>108</v>
      </c>
      <c r="J69" s="69"/>
      <c r="K69" s="82" t="s">
        <v>110</v>
      </c>
      <c r="L69" s="48"/>
      <c r="M69" s="48" t="s">
        <v>109</v>
      </c>
      <c r="N69" s="48"/>
      <c r="O69" s="48" t="s">
        <v>19</v>
      </c>
      <c r="P69" s="70"/>
      <c r="Q69"/>
      <c r="R69" s="1" t="s">
        <v>190</v>
      </c>
    </row>
    <row r="70" spans="2:18" x14ac:dyDescent="0.25">
      <c r="B70" s="84"/>
      <c r="C70" s="85"/>
      <c r="D70" s="86" t="s">
        <v>178</v>
      </c>
      <c r="E70" s="85"/>
      <c r="F70" s="85"/>
      <c r="G70" s="85"/>
      <c r="H70" s="86" t="s">
        <v>59</v>
      </c>
      <c r="I70" s="89"/>
      <c r="J70" s="9"/>
      <c r="K70" s="87">
        <f>SUM(Input!$K$36,Input!$K$37,Input!$K$38,Input!$K$39)</f>
        <v>0</v>
      </c>
      <c r="L70" s="86"/>
      <c r="M70" s="86"/>
      <c r="N70" s="86"/>
      <c r="O70" s="86"/>
      <c r="P70" s="99"/>
      <c r="Q70"/>
      <c r="R70" t="s">
        <v>181</v>
      </c>
    </row>
    <row r="71" spans="2:18" x14ac:dyDescent="0.25">
      <c r="B71" s="84"/>
      <c r="C71" s="85"/>
      <c r="D71" s="11" t="str">
        <f>Basisgegevens!$D$38</f>
        <v>wiellaadschop 1 m³</v>
      </c>
      <c r="E71" s="85"/>
      <c r="F71" s="85"/>
      <c r="G71" s="85"/>
      <c r="H71" s="86" t="s">
        <v>111</v>
      </c>
      <c r="I71" s="87">
        <v>40</v>
      </c>
      <c r="J71" s="9"/>
      <c r="K71" s="87">
        <f>K70/I71</f>
        <v>0</v>
      </c>
      <c r="L71" s="86"/>
      <c r="M71" s="98">
        <f>Basisgegevens!$M$38</f>
        <v>67.5</v>
      </c>
      <c r="N71" s="86"/>
      <c r="O71" s="81">
        <f>K71*M71</f>
        <v>0</v>
      </c>
      <c r="P71" s="99"/>
      <c r="Q71"/>
      <c r="R71" t="s">
        <v>252</v>
      </c>
    </row>
    <row r="72" spans="2:18" customFormat="1" x14ac:dyDescent="0.25">
      <c r="B72" s="84"/>
      <c r="C72" s="85"/>
      <c r="D72" s="45" t="str">
        <f>Basisgegevens!$D$13</f>
        <v>grondwerker</v>
      </c>
      <c r="E72" s="85"/>
      <c r="F72" s="85"/>
      <c r="G72" s="85"/>
      <c r="H72" s="100" t="s">
        <v>111</v>
      </c>
      <c r="I72" s="90">
        <v>50</v>
      </c>
      <c r="J72" s="9"/>
      <c r="K72" s="87">
        <f>K70/I72</f>
        <v>0</v>
      </c>
      <c r="L72" s="86"/>
      <c r="M72" s="98">
        <f>Basisgegevens!$M$13</f>
        <v>35</v>
      </c>
      <c r="N72" s="86"/>
      <c r="O72" s="81">
        <f>K72*M72</f>
        <v>0</v>
      </c>
      <c r="P72" s="99"/>
    </row>
    <row r="73" spans="2:18" customFormat="1" x14ac:dyDescent="0.25">
      <c r="B73" s="84"/>
      <c r="C73" s="85"/>
      <c r="D73" s="86" t="s">
        <v>184</v>
      </c>
      <c r="E73" s="85"/>
      <c r="F73" s="85"/>
      <c r="G73" s="85"/>
      <c r="H73" s="100" t="s">
        <v>135</v>
      </c>
      <c r="I73" s="90"/>
      <c r="J73" s="9"/>
      <c r="K73" s="87"/>
      <c r="L73" s="86"/>
      <c r="M73" s="98"/>
      <c r="N73" s="86"/>
      <c r="O73" s="81"/>
      <c r="P73" s="99"/>
    </row>
    <row r="74" spans="2:18" customFormat="1" x14ac:dyDescent="0.25">
      <c r="B74" s="84"/>
      <c r="C74" s="85"/>
      <c r="D74" s="11" t="str">
        <f>Basisgegevens!$D$38</f>
        <v>wiellaadschop 1 m³</v>
      </c>
      <c r="E74" s="85"/>
      <c r="F74" s="85"/>
      <c r="G74" s="85"/>
      <c r="H74" s="86" t="s">
        <v>111</v>
      </c>
      <c r="I74" s="87">
        <v>40</v>
      </c>
      <c r="J74" s="9"/>
      <c r="K74" s="87">
        <f>K70/I74/5*2</f>
        <v>0</v>
      </c>
      <c r="L74" s="86"/>
      <c r="M74" s="98">
        <f>Basisgegevens!$M$38</f>
        <v>67.5</v>
      </c>
      <c r="N74" s="86"/>
      <c r="O74" s="81">
        <f>K74*M74</f>
        <v>0</v>
      </c>
      <c r="P74" s="99"/>
    </row>
    <row r="75" spans="2:18" customFormat="1" x14ac:dyDescent="0.25">
      <c r="B75" s="84"/>
      <c r="C75" s="85"/>
      <c r="D75" s="45" t="str">
        <f>Basisgegevens!$D$13</f>
        <v>grondwerker</v>
      </c>
      <c r="E75" s="85"/>
      <c r="F75" s="85"/>
      <c r="G75" s="85"/>
      <c r="H75" s="100" t="s">
        <v>111</v>
      </c>
      <c r="I75" s="90">
        <v>50</v>
      </c>
      <c r="J75" s="9"/>
      <c r="K75" s="87">
        <f>K70/I75/5*2</f>
        <v>0</v>
      </c>
      <c r="L75" s="86"/>
      <c r="M75" s="98">
        <f>Basisgegevens!$M$13</f>
        <v>35</v>
      </c>
      <c r="N75" s="86"/>
      <c r="O75" s="81">
        <f>K75*M75</f>
        <v>0</v>
      </c>
      <c r="P75" s="99"/>
    </row>
    <row r="76" spans="2:18" x14ac:dyDescent="0.25">
      <c r="B76" s="73"/>
      <c r="C76" s="83"/>
      <c r="D76" s="83" t="s">
        <v>22</v>
      </c>
      <c r="E76" s="83"/>
      <c r="F76" s="83"/>
      <c r="G76" s="83"/>
      <c r="H76" s="83" t="str">
        <f>H70</f>
        <v>m2</v>
      </c>
      <c r="I76" s="80"/>
      <c r="J76" s="83"/>
      <c r="K76" s="80">
        <f>K70</f>
        <v>0</v>
      </c>
      <c r="L76" s="83"/>
      <c r="M76" s="103" t="e">
        <f>O76/K70</f>
        <v>#DIV/0!</v>
      </c>
      <c r="N76" s="83"/>
      <c r="O76" s="103">
        <f>SUM(O71:O75)</f>
        <v>0</v>
      </c>
      <c r="P76" s="104"/>
      <c r="Q76"/>
      <c r="R76"/>
    </row>
    <row r="77" spans="2:18" ht="5.0999999999999996" customHeight="1" thickBot="1" x14ac:dyDescent="0.3">
      <c r="B77" s="12"/>
      <c r="C77" s="13"/>
      <c r="D77" s="13"/>
      <c r="E77" s="13"/>
      <c r="F77" s="13"/>
      <c r="G77" s="13"/>
      <c r="H77" s="13"/>
      <c r="I77" s="15"/>
      <c r="J77" s="13"/>
      <c r="K77" s="15"/>
      <c r="L77" s="13"/>
      <c r="M77" s="13"/>
      <c r="N77" s="13"/>
      <c r="O77" s="13"/>
      <c r="P77" s="14"/>
      <c r="Q77"/>
      <c r="R77"/>
    </row>
    <row r="78" spans="2:18" ht="30" customHeight="1" thickBot="1" x14ac:dyDescent="0.3"/>
    <row r="79" spans="2:18" ht="5.0999999999999996" customHeight="1" x14ac:dyDescent="0.25">
      <c r="B79" s="3"/>
      <c r="C79" s="4"/>
      <c r="D79" s="4"/>
      <c r="E79" s="4"/>
      <c r="F79" s="4"/>
      <c r="G79" s="4"/>
      <c r="H79" s="55"/>
      <c r="I79" s="4"/>
      <c r="J79" s="4"/>
      <c r="K79" s="4"/>
      <c r="L79" s="4"/>
      <c r="M79" s="4"/>
      <c r="N79" s="4"/>
      <c r="O79" s="4"/>
      <c r="P79" s="5"/>
      <c r="Q79"/>
      <c r="R79"/>
    </row>
    <row r="80" spans="2:18" x14ac:dyDescent="0.25">
      <c r="B80" s="34"/>
      <c r="C80" s="94"/>
      <c r="D80" s="36"/>
      <c r="E80" s="36"/>
      <c r="F80" s="36"/>
      <c r="G80" s="36"/>
      <c r="H80" s="36"/>
      <c r="I80" s="44"/>
      <c r="J80" s="36"/>
      <c r="K80" s="44"/>
      <c r="L80" s="36"/>
      <c r="M80" s="36"/>
      <c r="N80" s="36"/>
      <c r="O80" s="36"/>
      <c r="P80" s="37"/>
      <c r="Q80"/>
      <c r="R80" s="105" t="s">
        <v>137</v>
      </c>
    </row>
    <row r="81" spans="2:18" x14ac:dyDescent="0.25">
      <c r="B81" s="34"/>
      <c r="C81" s="35" t="s">
        <v>185</v>
      </c>
      <c r="D81" s="36"/>
      <c r="E81" s="36"/>
      <c r="F81" s="36"/>
      <c r="G81" s="36"/>
      <c r="H81"/>
      <c r="I81" s="44"/>
      <c r="J81"/>
      <c r="K81" s="44"/>
      <c r="L81" s="36"/>
      <c r="O81" s="71" t="s">
        <v>62</v>
      </c>
      <c r="P81" s="37"/>
      <c r="Q81"/>
      <c r="R81" t="s">
        <v>189</v>
      </c>
    </row>
    <row r="82" spans="2:18" ht="15.75" thickBot="1" x14ac:dyDescent="0.3">
      <c r="B82" s="68"/>
      <c r="C82" s="48" t="s">
        <v>56</v>
      </c>
      <c r="D82" s="48" t="s">
        <v>55</v>
      </c>
      <c r="E82" s="50"/>
      <c r="F82" s="48"/>
      <c r="G82" s="48"/>
      <c r="H82" s="48" t="s">
        <v>107</v>
      </c>
      <c r="I82" s="78" t="s">
        <v>108</v>
      </c>
      <c r="J82" s="69"/>
      <c r="K82" s="82" t="s">
        <v>110</v>
      </c>
      <c r="L82" s="48"/>
      <c r="M82" s="48" t="s">
        <v>109</v>
      </c>
      <c r="N82" s="48"/>
      <c r="O82" s="48" t="s">
        <v>19</v>
      </c>
      <c r="P82" s="70"/>
      <c r="Q82"/>
      <c r="R82" s="1" t="s">
        <v>190</v>
      </c>
    </row>
    <row r="83" spans="2:18" x14ac:dyDescent="0.25">
      <c r="B83" s="84"/>
      <c r="C83" s="85"/>
      <c r="D83" s="86" t="s">
        <v>178</v>
      </c>
      <c r="E83" s="85"/>
      <c r="F83" s="85"/>
      <c r="G83" s="85"/>
      <c r="H83" s="86" t="s">
        <v>59</v>
      </c>
      <c r="I83" s="89"/>
      <c r="J83" s="9"/>
      <c r="K83" s="87">
        <f>SUM(Input!$O$36,Input!$O$37,Input!$O$38,Input!$O$39)</f>
        <v>0</v>
      </c>
      <c r="L83" s="86"/>
      <c r="M83" s="86"/>
      <c r="N83" s="86"/>
      <c r="O83" s="86"/>
      <c r="P83" s="99"/>
      <c r="Q83"/>
      <c r="R83" t="s">
        <v>188</v>
      </c>
    </row>
    <row r="84" spans="2:18" x14ac:dyDescent="0.25">
      <c r="B84" s="84"/>
      <c r="C84" s="85"/>
      <c r="D84" s="11" t="str">
        <f>Basisgegevens!$D$38</f>
        <v>wiellaadschop 1 m³</v>
      </c>
      <c r="E84" s="85"/>
      <c r="F84" s="85"/>
      <c r="G84" s="85"/>
      <c r="H84" s="86" t="s">
        <v>111</v>
      </c>
      <c r="I84" s="87">
        <v>75</v>
      </c>
      <c r="J84" s="9"/>
      <c r="K84" s="87">
        <f>K83/I84</f>
        <v>0</v>
      </c>
      <c r="L84" s="86"/>
      <c r="M84" s="98">
        <f>Basisgegevens!$M$38</f>
        <v>67.5</v>
      </c>
      <c r="N84" s="86"/>
      <c r="O84" s="81">
        <f>K84*M84</f>
        <v>0</v>
      </c>
      <c r="P84" s="99"/>
      <c r="Q84"/>
      <c r="R84" s="1" t="s">
        <v>200</v>
      </c>
    </row>
    <row r="85" spans="2:18" customFormat="1" x14ac:dyDescent="0.25">
      <c r="B85" s="84"/>
      <c r="C85" s="85"/>
      <c r="D85" s="45" t="str">
        <f>Basisgegevens!$D$13</f>
        <v>grondwerker</v>
      </c>
      <c r="E85" s="85"/>
      <c r="F85" s="85"/>
      <c r="G85" s="85"/>
      <c r="H85" s="100" t="s">
        <v>111</v>
      </c>
      <c r="I85" s="90">
        <v>100</v>
      </c>
      <c r="J85" s="9"/>
      <c r="K85" s="87">
        <f>K83/I85</f>
        <v>0</v>
      </c>
      <c r="L85" s="86"/>
      <c r="M85" s="98">
        <f>Basisgegevens!$M$13</f>
        <v>35</v>
      </c>
      <c r="N85" s="86"/>
      <c r="O85" s="81">
        <f>K85*M85</f>
        <v>0</v>
      </c>
      <c r="P85" s="99"/>
      <c r="R85" t="s">
        <v>253</v>
      </c>
    </row>
    <row r="86" spans="2:18" customFormat="1" x14ac:dyDescent="0.25">
      <c r="B86" s="84"/>
      <c r="C86" s="85"/>
      <c r="D86" s="86" t="s">
        <v>186</v>
      </c>
      <c r="E86" s="85"/>
      <c r="F86" s="85"/>
      <c r="G86" s="85"/>
      <c r="H86" s="100" t="s">
        <v>135</v>
      </c>
      <c r="I86" s="90"/>
      <c r="J86" s="9"/>
      <c r="K86" s="87"/>
      <c r="L86" s="86"/>
      <c r="M86" s="98"/>
      <c r="N86" s="86"/>
      <c r="O86" s="81"/>
      <c r="P86" s="99"/>
    </row>
    <row r="87" spans="2:18" customFormat="1" x14ac:dyDescent="0.25">
      <c r="B87" s="84"/>
      <c r="C87" s="85"/>
      <c r="D87" s="11" t="str">
        <f>Basisgegevens!$D$38</f>
        <v>wiellaadschop 1 m³</v>
      </c>
      <c r="E87" s="85"/>
      <c r="F87" s="85"/>
      <c r="G87" s="85"/>
      <c r="H87" s="86" t="s">
        <v>111</v>
      </c>
      <c r="I87" s="87">
        <v>125</v>
      </c>
      <c r="J87" s="9"/>
      <c r="K87" s="87">
        <f>K83/I87/5</f>
        <v>0</v>
      </c>
      <c r="L87" s="86"/>
      <c r="M87" s="98">
        <f>Basisgegevens!$M$38</f>
        <v>67.5</v>
      </c>
      <c r="N87" s="86"/>
      <c r="O87" s="81">
        <f>K87*M87</f>
        <v>0</v>
      </c>
      <c r="P87" s="99"/>
    </row>
    <row r="88" spans="2:18" customFormat="1" x14ac:dyDescent="0.25">
      <c r="B88" s="84"/>
      <c r="C88" s="85"/>
      <c r="D88" s="45" t="str">
        <f>Basisgegevens!$D$13</f>
        <v>grondwerker</v>
      </c>
      <c r="E88" s="85"/>
      <c r="F88" s="85"/>
      <c r="G88" s="85"/>
      <c r="H88" s="100" t="s">
        <v>111</v>
      </c>
      <c r="I88" s="90">
        <v>125</v>
      </c>
      <c r="J88" s="9"/>
      <c r="K88" s="87">
        <f>K83/I88/5</f>
        <v>0</v>
      </c>
      <c r="L88" s="86"/>
      <c r="M88" s="98">
        <f>Basisgegevens!$M$13</f>
        <v>35</v>
      </c>
      <c r="N88" s="86"/>
      <c r="O88" s="81">
        <f>K88*M88</f>
        <v>0</v>
      </c>
      <c r="P88" s="99"/>
    </row>
    <row r="89" spans="2:18" x14ac:dyDescent="0.25">
      <c r="B89" s="84"/>
      <c r="C89" s="85"/>
      <c r="D89" s="86" t="s">
        <v>196</v>
      </c>
      <c r="E89" s="85"/>
      <c r="F89" s="85"/>
      <c r="G89" s="85"/>
      <c r="H89" s="100" t="s">
        <v>59</v>
      </c>
      <c r="I89" s="17"/>
      <c r="J89" s="9"/>
      <c r="K89" s="87"/>
      <c r="L89" s="86"/>
      <c r="M89" s="86"/>
      <c r="N89" s="86"/>
      <c r="O89" s="86"/>
      <c r="P89" s="99"/>
      <c r="Q89"/>
      <c r="R89"/>
    </row>
    <row r="90" spans="2:18" x14ac:dyDescent="0.25">
      <c r="B90" s="84"/>
      <c r="C90" s="85"/>
      <c r="D90" s="45" t="str">
        <f>Basisgegevens!$D$25</f>
        <v>vrachtauto 6x6 12 m³</v>
      </c>
      <c r="E90" s="85"/>
      <c r="F90" s="85"/>
      <c r="G90" s="85"/>
      <c r="H90" s="100" t="s">
        <v>111</v>
      </c>
      <c r="I90" s="90">
        <f>12*2.25</f>
        <v>27</v>
      </c>
      <c r="J90" s="9"/>
      <c r="K90" s="87">
        <f>K91/I90</f>
        <v>0</v>
      </c>
      <c r="L90" s="86"/>
      <c r="M90" s="88">
        <f>Basisgegevens!$M$25</f>
        <v>55</v>
      </c>
      <c r="N90" s="86"/>
      <c r="O90" s="81">
        <f>M90*K90</f>
        <v>0</v>
      </c>
      <c r="P90" s="99"/>
      <c r="Q90"/>
      <c r="R90"/>
    </row>
    <row r="91" spans="2:18" x14ac:dyDescent="0.25">
      <c r="B91" s="84"/>
      <c r="C91" s="85"/>
      <c r="D91" s="45" t="str">
        <f>Basisgegevens!$D$94</f>
        <v>stortkosten betonpuin/steenachtigmateriaal</v>
      </c>
      <c r="E91" s="85"/>
      <c r="F91" s="85"/>
      <c r="G91" s="85"/>
      <c r="H91" s="100" t="s">
        <v>168</v>
      </c>
      <c r="I91" s="90">
        <v>1</v>
      </c>
      <c r="J91" s="9"/>
      <c r="K91" s="87">
        <f>(K83*0.06*2.25)+(K83/4*0.04)</f>
        <v>0</v>
      </c>
      <c r="L91" s="86"/>
      <c r="M91" s="88">
        <f>Basisgegevens!$M$94</f>
        <v>5.75</v>
      </c>
      <c r="N91" s="86"/>
      <c r="O91" s="81">
        <f>M91*K91</f>
        <v>0</v>
      </c>
      <c r="P91" s="99"/>
      <c r="Q91"/>
      <c r="R91"/>
    </row>
    <row r="92" spans="2:18" x14ac:dyDescent="0.25">
      <c r="B92" s="73"/>
      <c r="C92" s="83"/>
      <c r="D92" s="83" t="s">
        <v>22</v>
      </c>
      <c r="E92" s="83"/>
      <c r="F92" s="83"/>
      <c r="G92" s="83"/>
      <c r="H92" s="83" t="str">
        <f>H83</f>
        <v>m2</v>
      </c>
      <c r="I92" s="80"/>
      <c r="J92" s="83"/>
      <c r="K92" s="80">
        <f>K83</f>
        <v>0</v>
      </c>
      <c r="L92" s="83"/>
      <c r="M92" s="103" t="e">
        <f>O92/K83</f>
        <v>#DIV/0!</v>
      </c>
      <c r="N92" s="83"/>
      <c r="O92" s="103">
        <f>SUM(O84:O91)</f>
        <v>0</v>
      </c>
      <c r="P92" s="104"/>
      <c r="Q92"/>
      <c r="R92"/>
    </row>
    <row r="93" spans="2:18" ht="5.0999999999999996" customHeight="1" thickBot="1" x14ac:dyDescent="0.3">
      <c r="B93" s="12"/>
      <c r="C93" s="13"/>
      <c r="D93" s="13"/>
      <c r="E93" s="13"/>
      <c r="F93" s="13"/>
      <c r="G93" s="13"/>
      <c r="H93" s="13"/>
      <c r="I93" s="15"/>
      <c r="J93" s="13"/>
      <c r="K93" s="15"/>
      <c r="L93" s="13"/>
      <c r="M93" s="13"/>
      <c r="N93" s="13"/>
      <c r="O93" s="13"/>
      <c r="P93" s="14"/>
      <c r="Q93"/>
      <c r="R93"/>
    </row>
    <row r="94" spans="2:18" ht="30" customHeight="1" thickBot="1" x14ac:dyDescent="0.3"/>
    <row r="95" spans="2:18" ht="5.0999999999999996" customHeight="1" x14ac:dyDescent="0.25">
      <c r="B95" s="3"/>
      <c r="C95" s="4"/>
      <c r="D95" s="4"/>
      <c r="E95" s="4"/>
      <c r="F95" s="4"/>
      <c r="G95" s="4"/>
      <c r="H95" s="55"/>
      <c r="I95" s="4"/>
      <c r="J95" s="4"/>
      <c r="K95" s="4"/>
      <c r="L95" s="4"/>
      <c r="M95" s="4"/>
      <c r="N95" s="4"/>
      <c r="O95" s="4"/>
      <c r="P95" s="5"/>
      <c r="Q95"/>
    </row>
    <row r="96" spans="2:18" x14ac:dyDescent="0.25">
      <c r="B96" s="34"/>
      <c r="C96" s="94"/>
      <c r="D96" s="36"/>
      <c r="E96" s="36"/>
      <c r="F96" s="36"/>
      <c r="G96" s="36"/>
      <c r="H96" s="36"/>
      <c r="I96" s="44"/>
      <c r="J96" s="36"/>
      <c r="K96" s="44"/>
      <c r="L96" s="36"/>
      <c r="M96" s="36"/>
      <c r="N96" s="36"/>
      <c r="O96" s="36"/>
      <c r="P96" s="37"/>
      <c r="Q96"/>
    </row>
    <row r="97" spans="2:18" x14ac:dyDescent="0.25">
      <c r="B97" s="34"/>
      <c r="C97" s="35" t="s">
        <v>244</v>
      </c>
      <c r="D97" s="36"/>
      <c r="E97" s="36"/>
      <c r="F97" s="36"/>
      <c r="G97" s="36"/>
      <c r="H97"/>
      <c r="I97" s="44"/>
      <c r="J97"/>
      <c r="K97" s="44"/>
      <c r="L97" s="36"/>
      <c r="O97" s="71" t="s">
        <v>62</v>
      </c>
      <c r="P97" s="37"/>
      <c r="Q97"/>
    </row>
    <row r="98" spans="2:18" ht="15.75" thickBot="1" x14ac:dyDescent="0.3">
      <c r="B98" s="68"/>
      <c r="C98" s="48" t="s">
        <v>56</v>
      </c>
      <c r="D98" s="48" t="s">
        <v>55</v>
      </c>
      <c r="E98" s="50"/>
      <c r="F98" s="48"/>
      <c r="G98" s="48"/>
      <c r="H98" s="48" t="s">
        <v>107</v>
      </c>
      <c r="I98" s="78" t="s">
        <v>108</v>
      </c>
      <c r="J98" s="69"/>
      <c r="K98" s="82" t="s">
        <v>110</v>
      </c>
      <c r="L98" s="48"/>
      <c r="M98" s="48" t="s">
        <v>109</v>
      </c>
      <c r="N98" s="48"/>
      <c r="O98" s="48" t="s">
        <v>19</v>
      </c>
      <c r="P98" s="70"/>
      <c r="Q98"/>
      <c r="R98" t="s">
        <v>250</v>
      </c>
    </row>
    <row r="99" spans="2:18" x14ac:dyDescent="0.25">
      <c r="B99" s="84"/>
      <c r="C99" s="85"/>
      <c r="D99" s="86" t="s">
        <v>245</v>
      </c>
      <c r="E99" s="85"/>
      <c r="F99" s="85"/>
      <c r="G99" s="85"/>
      <c r="H99" s="86" t="s">
        <v>59</v>
      </c>
      <c r="I99" s="89"/>
      <c r="J99" s="9"/>
      <c r="K99" s="87">
        <f>SUM(Input!G46)</f>
        <v>0</v>
      </c>
      <c r="L99" s="86"/>
      <c r="M99" s="86"/>
      <c r="N99" s="86"/>
      <c r="O99" s="86"/>
      <c r="P99" s="99"/>
      <c r="Q99"/>
      <c r="R99" t="s">
        <v>225</v>
      </c>
    </row>
    <row r="100" spans="2:18" x14ac:dyDescent="0.25">
      <c r="B100" s="84"/>
      <c r="C100" s="85"/>
      <c r="D100" s="11" t="str">
        <f>Basisgegevens!$D$51</f>
        <v xml:space="preserve">asfaltspreidmachine 2,50 m - 6,00 m, incl. machinist en balkman </v>
      </c>
      <c r="E100" s="85"/>
      <c r="F100" s="85"/>
      <c r="G100" s="85"/>
      <c r="H100" s="86" t="s">
        <v>111</v>
      </c>
      <c r="I100" s="87">
        <v>65</v>
      </c>
      <c r="J100" s="9"/>
      <c r="K100" s="79">
        <f t="shared" ref="K100:K105" si="0">$K$107/I100</f>
        <v>0</v>
      </c>
      <c r="L100" s="86"/>
      <c r="M100" s="98">
        <f>Basisgegevens!$M$51</f>
        <v>560</v>
      </c>
      <c r="N100" s="86"/>
      <c r="O100" s="81">
        <f>M100*K100</f>
        <v>0</v>
      </c>
      <c r="P100" s="99"/>
      <c r="Q100"/>
      <c r="R100" s="1" t="s">
        <v>226</v>
      </c>
    </row>
    <row r="101" spans="2:18" customFormat="1" x14ac:dyDescent="0.25">
      <c r="B101" s="84"/>
      <c r="C101" s="85"/>
      <c r="D101" s="11" t="str">
        <f>Basisgegevens!$D$52</f>
        <v>drierolwals 9000 kg</v>
      </c>
      <c r="E101" s="85"/>
      <c r="F101" s="85"/>
      <c r="G101" s="85"/>
      <c r="H101" s="86" t="s">
        <v>111</v>
      </c>
      <c r="I101" s="87">
        <v>65</v>
      </c>
      <c r="J101" s="9"/>
      <c r="K101" s="79">
        <f t="shared" si="0"/>
        <v>0</v>
      </c>
      <c r="L101" s="86"/>
      <c r="M101" s="98">
        <f>Basisgegevens!$M$52</f>
        <v>185</v>
      </c>
      <c r="N101" s="86"/>
      <c r="O101" s="81">
        <f t="shared" ref="O101:O132" si="1">M101*K101</f>
        <v>0</v>
      </c>
      <c r="P101" s="99"/>
      <c r="R101" s="66" t="s">
        <v>227</v>
      </c>
    </row>
    <row r="102" spans="2:18" customFormat="1" x14ac:dyDescent="0.25">
      <c r="B102" s="84"/>
      <c r="C102" s="85"/>
      <c r="D102" s="11" t="str">
        <f>Basisgegevens!$D$52</f>
        <v>drierolwals 9000 kg</v>
      </c>
      <c r="E102" s="85"/>
      <c r="F102" s="85"/>
      <c r="G102" s="85"/>
      <c r="H102" s="86" t="s">
        <v>111</v>
      </c>
      <c r="I102" s="87">
        <v>65</v>
      </c>
      <c r="J102" s="9"/>
      <c r="K102" s="79">
        <f t="shared" si="0"/>
        <v>0</v>
      </c>
      <c r="L102" s="86"/>
      <c r="M102" s="98">
        <f>Basisgegevens!$M$52</f>
        <v>185</v>
      </c>
      <c r="N102" s="86"/>
      <c r="O102" s="81">
        <f t="shared" si="1"/>
        <v>0</v>
      </c>
      <c r="P102" s="99"/>
      <c r="R102" s="66" t="s">
        <v>237</v>
      </c>
    </row>
    <row r="103" spans="2:18" customFormat="1" x14ac:dyDescent="0.25">
      <c r="B103" s="84"/>
      <c r="C103" s="85"/>
      <c r="D103" s="45" t="str">
        <f>Basisgegevens!$D$15</f>
        <v>asfaltverwerker</v>
      </c>
      <c r="E103" s="85"/>
      <c r="F103" s="85"/>
      <c r="G103" s="85"/>
      <c r="H103" s="86" t="s">
        <v>111</v>
      </c>
      <c r="I103" s="87">
        <v>65</v>
      </c>
      <c r="J103" s="9"/>
      <c r="K103" s="79">
        <f>$K$107/I103</f>
        <v>0</v>
      </c>
      <c r="L103" s="86"/>
      <c r="M103" s="98">
        <f>Basisgegevens!$M$15</f>
        <v>35</v>
      </c>
      <c r="N103" s="86"/>
      <c r="O103" s="81">
        <f t="shared" si="1"/>
        <v>0</v>
      </c>
      <c r="P103" s="99"/>
      <c r="R103" s="66" t="s">
        <v>243</v>
      </c>
    </row>
    <row r="104" spans="2:18" customFormat="1" x14ac:dyDescent="0.25">
      <c r="B104" s="84"/>
      <c r="C104" s="85"/>
      <c r="D104" s="45" t="str">
        <f>Basisgegevens!$D$15</f>
        <v>asfaltverwerker</v>
      </c>
      <c r="E104" s="85"/>
      <c r="F104" s="85"/>
      <c r="G104" s="85"/>
      <c r="H104" s="86" t="s">
        <v>111</v>
      </c>
      <c r="I104" s="87">
        <v>65</v>
      </c>
      <c r="J104" s="9"/>
      <c r="K104" s="79">
        <f t="shared" si="0"/>
        <v>0</v>
      </c>
      <c r="L104" s="86"/>
      <c r="M104" s="98">
        <f>Basisgegevens!$M$15</f>
        <v>35</v>
      </c>
      <c r="N104" s="86"/>
      <c r="O104" s="81">
        <f t="shared" si="1"/>
        <v>0</v>
      </c>
      <c r="P104" s="99"/>
      <c r="R104" s="66" t="s">
        <v>263</v>
      </c>
    </row>
    <row r="105" spans="2:18" customFormat="1" x14ac:dyDescent="0.25">
      <c r="B105" s="84"/>
      <c r="C105" s="85"/>
      <c r="D105" s="45" t="str">
        <f>Basisgegevens!$D$15</f>
        <v>asfaltverwerker</v>
      </c>
      <c r="E105" s="85"/>
      <c r="F105" s="85"/>
      <c r="G105" s="85"/>
      <c r="H105" s="86" t="s">
        <v>111</v>
      </c>
      <c r="I105" s="87">
        <v>65</v>
      </c>
      <c r="J105" s="9"/>
      <c r="K105" s="79">
        <f t="shared" si="0"/>
        <v>0</v>
      </c>
      <c r="L105" s="86"/>
      <c r="M105" s="98">
        <f>Basisgegevens!$M$15</f>
        <v>35</v>
      </c>
      <c r="N105" s="86"/>
      <c r="O105" s="81">
        <f t="shared" si="1"/>
        <v>0</v>
      </c>
      <c r="P105" s="99"/>
      <c r="R105" s="1" t="s">
        <v>272</v>
      </c>
    </row>
    <row r="106" spans="2:18" customFormat="1" x14ac:dyDescent="0.25">
      <c r="B106" s="84"/>
      <c r="C106" s="85"/>
      <c r="D106" s="10" t="s">
        <v>235</v>
      </c>
      <c r="E106" s="85"/>
      <c r="F106" s="85"/>
      <c r="G106" s="85"/>
      <c r="H106" s="86"/>
      <c r="I106" s="87"/>
      <c r="J106" s="9"/>
      <c r="K106" s="87"/>
      <c r="L106" s="86"/>
      <c r="M106" s="98"/>
      <c r="N106" s="86"/>
      <c r="O106" s="81"/>
      <c r="P106" s="99"/>
      <c r="R106" s="66" t="s">
        <v>221</v>
      </c>
    </row>
    <row r="107" spans="2:18" customFormat="1" x14ac:dyDescent="0.25">
      <c r="B107" s="84"/>
      <c r="C107" s="85"/>
      <c r="D107" s="11" t="str">
        <f>Basisgegevens!$D$116</f>
        <v>STAB 0/22 vk 3</v>
      </c>
      <c r="E107" s="85"/>
      <c r="F107" s="85"/>
      <c r="G107" s="85"/>
      <c r="H107" s="86" t="s">
        <v>168</v>
      </c>
      <c r="I107" s="87">
        <v>1</v>
      </c>
      <c r="J107" s="9"/>
      <c r="K107" s="87">
        <f>K99*0.055*2.25</f>
        <v>0</v>
      </c>
      <c r="L107" s="86"/>
      <c r="M107" s="98">
        <f>Basisgegevens!$M$116</f>
        <v>45</v>
      </c>
      <c r="N107" s="86"/>
      <c r="O107" s="81">
        <f t="shared" si="1"/>
        <v>0</v>
      </c>
      <c r="P107" s="99"/>
      <c r="R107" s="66" t="s">
        <v>404</v>
      </c>
    </row>
    <row r="108" spans="2:18" customFormat="1" x14ac:dyDescent="0.25">
      <c r="B108" s="84"/>
      <c r="C108" s="85"/>
      <c r="D108" s="10" t="s">
        <v>239</v>
      </c>
      <c r="E108" s="85"/>
      <c r="F108" s="85"/>
      <c r="G108" s="85"/>
      <c r="H108" s="86"/>
      <c r="I108" s="87"/>
      <c r="J108" s="9"/>
      <c r="K108" s="87"/>
      <c r="L108" s="86"/>
      <c r="M108" s="98"/>
      <c r="N108" s="86"/>
      <c r="O108" s="81"/>
      <c r="P108" s="99"/>
    </row>
    <row r="109" spans="2:18" customFormat="1" x14ac:dyDescent="0.25">
      <c r="B109" s="84"/>
      <c r="C109" s="85"/>
      <c r="D109" s="11" t="str">
        <f>Basisgegevens!$D$53</f>
        <v>vrachtauto 8x4, geïsoleerd 20 ton</v>
      </c>
      <c r="E109" s="85"/>
      <c r="F109" s="85"/>
      <c r="G109" s="85"/>
      <c r="H109" s="86" t="s">
        <v>111</v>
      </c>
      <c r="I109" s="87">
        <v>10</v>
      </c>
      <c r="J109" s="9"/>
      <c r="K109" s="87">
        <f>K107/10</f>
        <v>0</v>
      </c>
      <c r="L109" s="86"/>
      <c r="M109" s="98">
        <f>Basisgegevens!$M$53</f>
        <v>60</v>
      </c>
      <c r="N109" s="86"/>
      <c r="O109" s="81">
        <f t="shared" si="1"/>
        <v>0</v>
      </c>
      <c r="P109" s="99"/>
    </row>
    <row r="110" spans="2:18" customFormat="1" x14ac:dyDescent="0.25">
      <c r="B110" s="84"/>
      <c r="C110" s="85"/>
      <c r="D110" s="10" t="s">
        <v>247</v>
      </c>
      <c r="E110" s="85"/>
      <c r="F110" s="85"/>
      <c r="G110" s="85"/>
      <c r="H110" s="86"/>
      <c r="I110" s="87"/>
      <c r="J110" s="9"/>
      <c r="K110" s="87"/>
      <c r="L110" s="86"/>
      <c r="M110" s="98"/>
      <c r="N110" s="86"/>
      <c r="O110" s="81"/>
      <c r="P110" s="99"/>
    </row>
    <row r="111" spans="2:18" customFormat="1" x14ac:dyDescent="0.25">
      <c r="B111" s="84"/>
      <c r="C111" s="85"/>
      <c r="D111" s="11" t="str">
        <f>Basisgegevens!$D$54</f>
        <v>veeg/zuigauto 7 m³</v>
      </c>
      <c r="E111" s="85"/>
      <c r="F111" s="85"/>
      <c r="G111" s="85"/>
      <c r="H111" s="86" t="s">
        <v>111</v>
      </c>
      <c r="I111" s="87">
        <v>75</v>
      </c>
      <c r="J111" s="9"/>
      <c r="K111" s="87">
        <f>K99/I111</f>
        <v>0</v>
      </c>
      <c r="L111" s="86"/>
      <c r="M111" s="98">
        <f>Basisgegevens!$M$54</f>
        <v>75</v>
      </c>
      <c r="N111" s="86"/>
      <c r="O111" s="81">
        <f t="shared" si="1"/>
        <v>0</v>
      </c>
      <c r="P111" s="99"/>
    </row>
    <row r="112" spans="2:18" customFormat="1" x14ac:dyDescent="0.25">
      <c r="B112" s="84"/>
      <c r="C112" s="85"/>
      <c r="D112" s="10" t="s">
        <v>236</v>
      </c>
      <c r="E112" s="85"/>
      <c r="F112" s="85"/>
      <c r="G112" s="85"/>
      <c r="H112" s="86"/>
      <c r="I112" s="87"/>
      <c r="J112" s="9"/>
      <c r="K112" s="87"/>
      <c r="L112" s="86"/>
      <c r="M112" s="98"/>
      <c r="N112" s="86"/>
      <c r="O112" s="81"/>
      <c r="P112" s="99"/>
    </row>
    <row r="113" spans="2:16" customFormat="1" x14ac:dyDescent="0.25">
      <c r="B113" s="84"/>
      <c r="C113" s="85"/>
      <c r="D113" s="11" t="str">
        <f>Basisgegevens!$D$55</f>
        <v>sproeiwagen</v>
      </c>
      <c r="E113" s="85"/>
      <c r="F113" s="85"/>
      <c r="G113" s="85"/>
      <c r="H113" s="86" t="s">
        <v>111</v>
      </c>
      <c r="I113" s="87">
        <v>65</v>
      </c>
      <c r="J113" s="9"/>
      <c r="K113" s="87">
        <f>K99/I113</f>
        <v>0</v>
      </c>
      <c r="L113" s="86"/>
      <c r="M113" s="98">
        <f>Basisgegevens!$M$55</f>
        <v>80</v>
      </c>
      <c r="N113" s="86"/>
      <c r="O113" s="81">
        <f t="shared" si="1"/>
        <v>0</v>
      </c>
      <c r="P113" s="99"/>
    </row>
    <row r="114" spans="2:16" customFormat="1" x14ac:dyDescent="0.25">
      <c r="B114" s="84"/>
      <c r="C114" s="85"/>
      <c r="D114" s="10" t="s">
        <v>234</v>
      </c>
      <c r="E114" s="85"/>
      <c r="F114" s="85"/>
      <c r="G114" s="85"/>
      <c r="H114" s="86"/>
      <c r="I114" s="87"/>
      <c r="J114" s="9"/>
      <c r="K114" s="87"/>
      <c r="L114" s="86"/>
      <c r="M114" s="98"/>
      <c r="N114" s="86"/>
      <c r="O114" s="81"/>
      <c r="P114" s="99"/>
    </row>
    <row r="115" spans="2:16" customFormat="1" x14ac:dyDescent="0.25">
      <c r="B115" s="84"/>
      <c r="C115" s="85"/>
      <c r="D115" s="45" t="str">
        <f>Basisgegevens!$D$120</f>
        <v>emulsie kleef</v>
      </c>
      <c r="E115" s="85"/>
      <c r="F115" s="85"/>
      <c r="G115" s="85"/>
      <c r="H115" s="100" t="s">
        <v>168</v>
      </c>
      <c r="I115" s="87">
        <v>1</v>
      </c>
      <c r="J115" s="9"/>
      <c r="K115" s="87">
        <f>K99*0.2/1000</f>
        <v>0</v>
      </c>
      <c r="L115" s="86"/>
      <c r="M115" s="98">
        <f>Basisgegevens!$M$120</f>
        <v>310</v>
      </c>
      <c r="N115" s="86"/>
      <c r="O115" s="81">
        <f t="shared" si="1"/>
        <v>0</v>
      </c>
      <c r="P115" s="99"/>
    </row>
    <row r="116" spans="2:16" customFormat="1" x14ac:dyDescent="0.25">
      <c r="B116" s="84"/>
      <c r="C116" s="85"/>
      <c r="D116" s="86" t="s">
        <v>246</v>
      </c>
      <c r="E116" s="85"/>
      <c r="F116" s="85"/>
      <c r="G116" s="85"/>
      <c r="H116" s="86" t="s">
        <v>59</v>
      </c>
      <c r="I116" s="89"/>
      <c r="J116" s="9"/>
      <c r="K116" s="87"/>
      <c r="L116" s="86"/>
      <c r="M116" s="86"/>
      <c r="N116" s="86"/>
      <c r="O116" s="86"/>
      <c r="P116" s="99"/>
    </row>
    <row r="117" spans="2:16" customFormat="1" x14ac:dyDescent="0.25">
      <c r="B117" s="84"/>
      <c r="C117" s="85"/>
      <c r="D117" s="11" t="str">
        <f>Basisgegevens!$D$51</f>
        <v xml:space="preserve">asfaltspreidmachine 2,50 m - 6,00 m, incl. machinist en balkman </v>
      </c>
      <c r="E117" s="85"/>
      <c r="F117" s="85"/>
      <c r="G117" s="85"/>
      <c r="H117" s="86" t="s">
        <v>111</v>
      </c>
      <c r="I117" s="87">
        <v>65</v>
      </c>
      <c r="J117" s="9"/>
      <c r="K117" s="79">
        <f t="shared" ref="K117:K122" si="2">$K$124/I117</f>
        <v>0</v>
      </c>
      <c r="L117" s="86"/>
      <c r="M117" s="98">
        <f>Basisgegevens!$M$51</f>
        <v>560</v>
      </c>
      <c r="N117" s="86"/>
      <c r="O117" s="81">
        <f t="shared" si="1"/>
        <v>0</v>
      </c>
      <c r="P117" s="99"/>
    </row>
    <row r="118" spans="2:16" customFormat="1" x14ac:dyDescent="0.25">
      <c r="B118" s="84"/>
      <c r="C118" s="85"/>
      <c r="D118" s="11" t="str">
        <f>Basisgegevens!$D$52</f>
        <v>drierolwals 9000 kg</v>
      </c>
      <c r="E118" s="85"/>
      <c r="F118" s="85"/>
      <c r="G118" s="85"/>
      <c r="H118" s="86" t="s">
        <v>111</v>
      </c>
      <c r="I118" s="87">
        <v>65</v>
      </c>
      <c r="J118" s="9"/>
      <c r="K118" s="79">
        <f t="shared" si="2"/>
        <v>0</v>
      </c>
      <c r="L118" s="86"/>
      <c r="M118" s="98">
        <f>Basisgegevens!$M$52</f>
        <v>185</v>
      </c>
      <c r="N118" s="86"/>
      <c r="O118" s="81">
        <f t="shared" si="1"/>
        <v>0</v>
      </c>
      <c r="P118" s="99"/>
    </row>
    <row r="119" spans="2:16" customFormat="1" x14ac:dyDescent="0.25">
      <c r="B119" s="84"/>
      <c r="C119" s="85"/>
      <c r="D119" s="11" t="str">
        <f>Basisgegevens!$D$52</f>
        <v>drierolwals 9000 kg</v>
      </c>
      <c r="E119" s="85"/>
      <c r="F119" s="85"/>
      <c r="G119" s="85"/>
      <c r="H119" s="86" t="s">
        <v>111</v>
      </c>
      <c r="I119" s="87">
        <v>65</v>
      </c>
      <c r="J119" s="9"/>
      <c r="K119" s="79">
        <f t="shared" si="2"/>
        <v>0</v>
      </c>
      <c r="L119" s="86"/>
      <c r="M119" s="98">
        <f>Basisgegevens!$M$52</f>
        <v>185</v>
      </c>
      <c r="N119" s="86"/>
      <c r="O119" s="81">
        <f t="shared" si="1"/>
        <v>0</v>
      </c>
      <c r="P119" s="99"/>
    </row>
    <row r="120" spans="2:16" customFormat="1" x14ac:dyDescent="0.25">
      <c r="B120" s="84"/>
      <c r="C120" s="85"/>
      <c r="D120" s="45" t="str">
        <f>Basisgegevens!$D$15</f>
        <v>asfaltverwerker</v>
      </c>
      <c r="E120" s="85"/>
      <c r="F120" s="85"/>
      <c r="G120" s="85"/>
      <c r="H120" s="86" t="s">
        <v>111</v>
      </c>
      <c r="I120" s="87">
        <v>65</v>
      </c>
      <c r="J120" s="9"/>
      <c r="K120" s="79">
        <f t="shared" si="2"/>
        <v>0</v>
      </c>
      <c r="L120" s="86"/>
      <c r="M120" s="98">
        <f>Basisgegevens!$M$15</f>
        <v>35</v>
      </c>
      <c r="N120" s="86"/>
      <c r="O120" s="81">
        <f t="shared" si="1"/>
        <v>0</v>
      </c>
      <c r="P120" s="99"/>
    </row>
    <row r="121" spans="2:16" customFormat="1" x14ac:dyDescent="0.25">
      <c r="B121" s="84"/>
      <c r="C121" s="85"/>
      <c r="D121" s="45" t="str">
        <f>Basisgegevens!$D$15</f>
        <v>asfaltverwerker</v>
      </c>
      <c r="E121" s="85"/>
      <c r="F121" s="85"/>
      <c r="G121" s="85"/>
      <c r="H121" s="86" t="s">
        <v>111</v>
      </c>
      <c r="I121" s="87">
        <v>65</v>
      </c>
      <c r="J121" s="9"/>
      <c r="K121" s="79">
        <f t="shared" si="2"/>
        <v>0</v>
      </c>
      <c r="L121" s="86"/>
      <c r="M121" s="98">
        <f>Basisgegevens!$M$15</f>
        <v>35</v>
      </c>
      <c r="N121" s="86"/>
      <c r="O121" s="81">
        <f t="shared" si="1"/>
        <v>0</v>
      </c>
      <c r="P121" s="99"/>
    </row>
    <row r="122" spans="2:16" customFormat="1" x14ac:dyDescent="0.25">
      <c r="B122" s="84"/>
      <c r="C122" s="85"/>
      <c r="D122" s="45" t="str">
        <f>Basisgegevens!$D$15</f>
        <v>asfaltverwerker</v>
      </c>
      <c r="E122" s="85"/>
      <c r="F122" s="85"/>
      <c r="G122" s="85"/>
      <c r="H122" s="86" t="s">
        <v>111</v>
      </c>
      <c r="I122" s="87">
        <v>65</v>
      </c>
      <c r="J122" s="9"/>
      <c r="K122" s="79">
        <f t="shared" si="2"/>
        <v>0</v>
      </c>
      <c r="L122" s="86"/>
      <c r="M122" s="98">
        <f>Basisgegevens!$M$15</f>
        <v>35</v>
      </c>
      <c r="N122" s="86"/>
      <c r="O122" s="81">
        <f t="shared" si="1"/>
        <v>0</v>
      </c>
      <c r="P122" s="99"/>
    </row>
    <row r="123" spans="2:16" customFormat="1" x14ac:dyDescent="0.25">
      <c r="B123" s="84"/>
      <c r="C123" s="85"/>
      <c r="D123" s="10" t="s">
        <v>235</v>
      </c>
      <c r="E123" s="85"/>
      <c r="F123" s="85"/>
      <c r="G123" s="85"/>
      <c r="H123" s="86"/>
      <c r="I123" s="87"/>
      <c r="J123" s="9"/>
      <c r="K123" s="87"/>
      <c r="L123" s="86"/>
      <c r="M123" s="98"/>
      <c r="N123" s="86"/>
      <c r="O123" s="81"/>
      <c r="P123" s="99"/>
    </row>
    <row r="124" spans="2:16" customFormat="1" x14ac:dyDescent="0.25">
      <c r="B124" s="84"/>
      <c r="C124" s="85"/>
      <c r="D124" s="11" t="str">
        <f>Basisgegevens!$D$117</f>
        <v>OAB 0/16 type 2 vk 3</v>
      </c>
      <c r="E124" s="85"/>
      <c r="F124" s="85"/>
      <c r="G124" s="85"/>
      <c r="H124" s="86" t="s">
        <v>168</v>
      </c>
      <c r="I124" s="87">
        <v>1</v>
      </c>
      <c r="J124" s="9"/>
      <c r="K124" s="87">
        <f>K99*0.04*2.25</f>
        <v>0</v>
      </c>
      <c r="L124" s="86"/>
      <c r="M124" s="98">
        <f>Basisgegevens!$M$117</f>
        <v>50</v>
      </c>
      <c r="N124" s="86"/>
      <c r="O124" s="81">
        <f t="shared" si="1"/>
        <v>0</v>
      </c>
      <c r="P124" s="99"/>
    </row>
    <row r="125" spans="2:16" customFormat="1" x14ac:dyDescent="0.25">
      <c r="B125" s="84"/>
      <c r="C125" s="85"/>
      <c r="D125" s="10" t="s">
        <v>239</v>
      </c>
      <c r="E125" s="85"/>
      <c r="F125" s="85"/>
      <c r="G125" s="85"/>
      <c r="H125" s="86"/>
      <c r="I125" s="87"/>
      <c r="J125" s="9"/>
      <c r="K125" s="87"/>
      <c r="L125" s="86"/>
      <c r="M125" s="98"/>
      <c r="N125" s="86"/>
      <c r="O125" s="81"/>
      <c r="P125" s="99"/>
    </row>
    <row r="126" spans="2:16" customFormat="1" x14ac:dyDescent="0.25">
      <c r="B126" s="84"/>
      <c r="C126" s="85"/>
      <c r="D126" s="11" t="str">
        <f>Basisgegevens!$D$53</f>
        <v>vrachtauto 8x4, geïsoleerd 20 ton</v>
      </c>
      <c r="E126" s="85"/>
      <c r="F126" s="85"/>
      <c r="G126" s="85"/>
      <c r="H126" s="86" t="s">
        <v>111</v>
      </c>
      <c r="I126" s="87">
        <v>10</v>
      </c>
      <c r="J126" s="9"/>
      <c r="K126" s="87">
        <f>K124/10</f>
        <v>0</v>
      </c>
      <c r="L126" s="86"/>
      <c r="M126" s="98">
        <f>Basisgegevens!$M$53</f>
        <v>60</v>
      </c>
      <c r="N126" s="86"/>
      <c r="O126" s="81">
        <f t="shared" si="1"/>
        <v>0</v>
      </c>
      <c r="P126" s="99"/>
    </row>
    <row r="127" spans="2:16" customFormat="1" x14ac:dyDescent="0.25">
      <c r="B127" s="84"/>
      <c r="C127" s="85"/>
      <c r="D127" s="10" t="s">
        <v>248</v>
      </c>
      <c r="E127" s="85"/>
      <c r="F127" s="85"/>
      <c r="G127" s="85"/>
      <c r="H127" s="86"/>
      <c r="I127" s="87"/>
      <c r="J127" s="9"/>
      <c r="K127" s="87"/>
      <c r="L127" s="86"/>
      <c r="M127" s="98"/>
      <c r="N127" s="86"/>
      <c r="O127" s="81"/>
      <c r="P127" s="99"/>
    </row>
    <row r="128" spans="2:16" customFormat="1" x14ac:dyDescent="0.25">
      <c r="B128" s="84"/>
      <c r="C128" s="85"/>
      <c r="D128" s="11" t="str">
        <f>Basisgegevens!$D$54</f>
        <v>veeg/zuigauto 7 m³</v>
      </c>
      <c r="E128" s="85"/>
      <c r="F128" s="85"/>
      <c r="G128" s="85"/>
      <c r="H128" s="86" t="s">
        <v>111</v>
      </c>
      <c r="I128" s="87">
        <v>75</v>
      </c>
      <c r="J128" s="9"/>
      <c r="K128" s="87">
        <f>K99/I128</f>
        <v>0</v>
      </c>
      <c r="L128" s="86"/>
      <c r="M128" s="98">
        <f>Basisgegevens!$M$54</f>
        <v>75</v>
      </c>
      <c r="N128" s="86"/>
      <c r="O128" s="81">
        <f>M128*K128</f>
        <v>0</v>
      </c>
      <c r="P128" s="99"/>
    </row>
    <row r="129" spans="2:16" customFormat="1" x14ac:dyDescent="0.25">
      <c r="B129" s="84"/>
      <c r="C129" s="85"/>
      <c r="D129" s="10" t="s">
        <v>236</v>
      </c>
      <c r="E129" s="85"/>
      <c r="F129" s="85"/>
      <c r="G129" s="85"/>
      <c r="H129" s="86"/>
      <c r="I129" s="87"/>
      <c r="J129" s="9"/>
      <c r="K129" s="87"/>
      <c r="L129" s="86"/>
      <c r="M129" s="98"/>
      <c r="N129" s="86"/>
      <c r="O129" s="81"/>
      <c r="P129" s="99"/>
    </row>
    <row r="130" spans="2:16" customFormat="1" x14ac:dyDescent="0.25">
      <c r="B130" s="84"/>
      <c r="C130" s="85"/>
      <c r="D130" s="11" t="str">
        <f>Basisgegevens!$D$55</f>
        <v>sproeiwagen</v>
      </c>
      <c r="E130" s="85"/>
      <c r="F130" s="85"/>
      <c r="G130" s="85"/>
      <c r="H130" s="86" t="s">
        <v>111</v>
      </c>
      <c r="I130" s="87">
        <v>65</v>
      </c>
      <c r="J130" s="9"/>
      <c r="K130" s="87">
        <f>K99/I130</f>
        <v>0</v>
      </c>
      <c r="L130" s="86"/>
      <c r="M130" s="98">
        <f>Basisgegevens!$M$55</f>
        <v>80</v>
      </c>
      <c r="N130" s="86"/>
      <c r="O130" s="81">
        <f t="shared" si="1"/>
        <v>0</v>
      </c>
      <c r="P130" s="99"/>
    </row>
    <row r="131" spans="2:16" customFormat="1" x14ac:dyDescent="0.25">
      <c r="B131" s="84"/>
      <c r="C131" s="85"/>
      <c r="D131" s="10" t="s">
        <v>234</v>
      </c>
      <c r="E131" s="85"/>
      <c r="F131" s="85"/>
      <c r="G131" s="85"/>
      <c r="H131" s="86"/>
      <c r="I131" s="87"/>
      <c r="J131" s="9"/>
      <c r="K131" s="87"/>
      <c r="L131" s="86"/>
      <c r="M131" s="98"/>
      <c r="N131" s="86"/>
      <c r="O131" s="81"/>
      <c r="P131" s="99"/>
    </row>
    <row r="132" spans="2:16" customFormat="1" x14ac:dyDescent="0.25">
      <c r="B132" s="84"/>
      <c r="C132" s="85"/>
      <c r="D132" s="45" t="str">
        <f>Basisgegevens!$D$120</f>
        <v>emulsie kleef</v>
      </c>
      <c r="E132" s="85"/>
      <c r="F132" s="85"/>
      <c r="G132" s="85"/>
      <c r="H132" s="100" t="s">
        <v>168</v>
      </c>
      <c r="I132" s="87">
        <v>1</v>
      </c>
      <c r="J132" s="9"/>
      <c r="K132" s="87">
        <f>K99*0.2/1000</f>
        <v>0</v>
      </c>
      <c r="L132" s="86"/>
      <c r="M132" s="98">
        <f>Basisgegevens!$M$120</f>
        <v>310</v>
      </c>
      <c r="N132" s="86"/>
      <c r="O132" s="81">
        <f t="shared" si="1"/>
        <v>0</v>
      </c>
      <c r="P132" s="99"/>
    </row>
    <row r="133" spans="2:16" customFormat="1" x14ac:dyDescent="0.25">
      <c r="B133" s="84"/>
      <c r="C133" s="85"/>
      <c r="D133" s="86" t="s">
        <v>249</v>
      </c>
      <c r="E133" s="85"/>
      <c r="F133" s="85"/>
      <c r="G133" s="85"/>
      <c r="H133" s="86" t="s">
        <v>59</v>
      </c>
      <c r="I133" s="89"/>
      <c r="J133" s="9"/>
      <c r="K133" s="87"/>
      <c r="L133" s="86"/>
      <c r="M133" s="86"/>
      <c r="N133" s="86"/>
      <c r="O133" s="86"/>
      <c r="P133" s="99"/>
    </row>
    <row r="134" spans="2:16" customFormat="1" x14ac:dyDescent="0.25">
      <c r="B134" s="84"/>
      <c r="C134" s="85"/>
      <c r="D134" s="11" t="str">
        <f>Basisgegevens!$D$51</f>
        <v xml:space="preserve">asfaltspreidmachine 2,50 m - 6,00 m, incl. machinist en balkman </v>
      </c>
      <c r="E134" s="85"/>
      <c r="F134" s="85"/>
      <c r="G134" s="85"/>
      <c r="H134" s="86" t="s">
        <v>111</v>
      </c>
      <c r="I134" s="87">
        <v>65</v>
      </c>
      <c r="J134" s="9"/>
      <c r="K134" s="79">
        <f t="shared" ref="K134:K139" si="3">$K$141/I134</f>
        <v>0</v>
      </c>
      <c r="L134" s="86"/>
      <c r="M134" s="98">
        <f>Basisgegevens!$M$51</f>
        <v>560</v>
      </c>
      <c r="N134" s="86"/>
      <c r="O134" s="81">
        <f t="shared" ref="O134:O139" si="4">M134*K134</f>
        <v>0</v>
      </c>
      <c r="P134" s="99"/>
    </row>
    <row r="135" spans="2:16" customFormat="1" x14ac:dyDescent="0.25">
      <c r="B135" s="84"/>
      <c r="C135" s="85"/>
      <c r="D135" s="11" t="str">
        <f>Basisgegevens!$D$52</f>
        <v>drierolwals 9000 kg</v>
      </c>
      <c r="E135" s="85"/>
      <c r="F135" s="85"/>
      <c r="G135" s="85"/>
      <c r="H135" s="86" t="s">
        <v>111</v>
      </c>
      <c r="I135" s="87">
        <v>65</v>
      </c>
      <c r="J135" s="9"/>
      <c r="K135" s="79">
        <f t="shared" si="3"/>
        <v>0</v>
      </c>
      <c r="L135" s="86"/>
      <c r="M135" s="98">
        <f>Basisgegevens!$M$52</f>
        <v>185</v>
      </c>
      <c r="N135" s="86"/>
      <c r="O135" s="81">
        <f t="shared" si="4"/>
        <v>0</v>
      </c>
      <c r="P135" s="99"/>
    </row>
    <row r="136" spans="2:16" customFormat="1" x14ac:dyDescent="0.25">
      <c r="B136" s="84"/>
      <c r="C136" s="85"/>
      <c r="D136" s="11" t="str">
        <f>Basisgegevens!$D$52</f>
        <v>drierolwals 9000 kg</v>
      </c>
      <c r="E136" s="85"/>
      <c r="F136" s="85"/>
      <c r="G136" s="85"/>
      <c r="H136" s="86" t="s">
        <v>111</v>
      </c>
      <c r="I136" s="87">
        <v>65</v>
      </c>
      <c r="J136" s="9"/>
      <c r="K136" s="79">
        <f t="shared" si="3"/>
        <v>0</v>
      </c>
      <c r="L136" s="86"/>
      <c r="M136" s="98">
        <f>Basisgegevens!$M$52</f>
        <v>185</v>
      </c>
      <c r="N136" s="86"/>
      <c r="O136" s="81">
        <f t="shared" si="4"/>
        <v>0</v>
      </c>
      <c r="P136" s="99"/>
    </row>
    <row r="137" spans="2:16" customFormat="1" x14ac:dyDescent="0.25">
      <c r="B137" s="84"/>
      <c r="C137" s="85"/>
      <c r="D137" s="45" t="str">
        <f>Basisgegevens!$D$15</f>
        <v>asfaltverwerker</v>
      </c>
      <c r="E137" s="85"/>
      <c r="F137" s="85"/>
      <c r="G137" s="85"/>
      <c r="H137" s="86" t="s">
        <v>111</v>
      </c>
      <c r="I137" s="87">
        <v>65</v>
      </c>
      <c r="J137" s="9"/>
      <c r="K137" s="79">
        <f t="shared" si="3"/>
        <v>0</v>
      </c>
      <c r="L137" s="86"/>
      <c r="M137" s="98">
        <f>Basisgegevens!$M$15</f>
        <v>35</v>
      </c>
      <c r="N137" s="86"/>
      <c r="O137" s="81">
        <f t="shared" si="4"/>
        <v>0</v>
      </c>
      <c r="P137" s="99"/>
    </row>
    <row r="138" spans="2:16" customFormat="1" x14ac:dyDescent="0.25">
      <c r="B138" s="84"/>
      <c r="C138" s="85"/>
      <c r="D138" s="45" t="str">
        <f>Basisgegevens!$D$15</f>
        <v>asfaltverwerker</v>
      </c>
      <c r="E138" s="85"/>
      <c r="F138" s="85"/>
      <c r="G138" s="85"/>
      <c r="H138" s="86" t="s">
        <v>111</v>
      </c>
      <c r="I138" s="87">
        <v>65</v>
      </c>
      <c r="J138" s="9"/>
      <c r="K138" s="79">
        <f t="shared" si="3"/>
        <v>0</v>
      </c>
      <c r="L138" s="86"/>
      <c r="M138" s="98">
        <f>Basisgegevens!$M$15</f>
        <v>35</v>
      </c>
      <c r="N138" s="86"/>
      <c r="O138" s="81">
        <f t="shared" si="4"/>
        <v>0</v>
      </c>
      <c r="P138" s="99"/>
    </row>
    <row r="139" spans="2:16" customFormat="1" x14ac:dyDescent="0.25">
      <c r="B139" s="84"/>
      <c r="C139" s="85"/>
      <c r="D139" s="45" t="str">
        <f>Basisgegevens!$D$15</f>
        <v>asfaltverwerker</v>
      </c>
      <c r="E139" s="85"/>
      <c r="F139" s="85"/>
      <c r="G139" s="85"/>
      <c r="H139" s="86" t="s">
        <v>111</v>
      </c>
      <c r="I139" s="87">
        <v>65</v>
      </c>
      <c r="J139" s="9"/>
      <c r="K139" s="79">
        <f t="shared" si="3"/>
        <v>0</v>
      </c>
      <c r="L139" s="86"/>
      <c r="M139" s="98">
        <f>Basisgegevens!$M$15</f>
        <v>35</v>
      </c>
      <c r="N139" s="86"/>
      <c r="O139" s="81">
        <f t="shared" si="4"/>
        <v>0</v>
      </c>
      <c r="P139" s="99"/>
    </row>
    <row r="140" spans="2:16" customFormat="1" x14ac:dyDescent="0.25">
      <c r="B140" s="84"/>
      <c r="C140" s="85"/>
      <c r="D140" s="10" t="s">
        <v>235</v>
      </c>
      <c r="E140" s="85"/>
      <c r="F140" s="85"/>
      <c r="G140" s="85"/>
      <c r="H140" s="86"/>
      <c r="I140" s="87"/>
      <c r="J140" s="9"/>
      <c r="K140" s="87"/>
      <c r="L140" s="86"/>
      <c r="M140" s="98"/>
      <c r="N140" s="86"/>
      <c r="O140" s="81"/>
      <c r="P140" s="99"/>
    </row>
    <row r="141" spans="2:16" customFormat="1" x14ac:dyDescent="0.25">
      <c r="B141" s="84"/>
      <c r="C141" s="85"/>
      <c r="D141" s="11" t="str">
        <f>Basisgegevens!$D$118</f>
        <v>SMA 0/11 vk 2</v>
      </c>
      <c r="E141" s="85"/>
      <c r="F141" s="85"/>
      <c r="G141" s="85"/>
      <c r="H141" s="86" t="s">
        <v>168</v>
      </c>
      <c r="I141" s="87">
        <v>1</v>
      </c>
      <c r="J141" s="9"/>
      <c r="K141" s="87">
        <f>K99*0.035*2.25</f>
        <v>0</v>
      </c>
      <c r="L141" s="86"/>
      <c r="M141" s="98">
        <f>Basisgegevens!$M$118</f>
        <v>55</v>
      </c>
      <c r="N141" s="86"/>
      <c r="O141" s="81">
        <f>M141*K141</f>
        <v>0</v>
      </c>
      <c r="P141" s="99"/>
    </row>
    <row r="142" spans="2:16" customFormat="1" x14ac:dyDescent="0.25">
      <c r="B142" s="84"/>
      <c r="C142" s="85"/>
      <c r="D142" s="10" t="s">
        <v>239</v>
      </c>
      <c r="E142" s="85"/>
      <c r="F142" s="85"/>
      <c r="G142" s="85"/>
      <c r="H142" s="86"/>
      <c r="I142" s="87"/>
      <c r="J142" s="9"/>
      <c r="K142" s="87"/>
      <c r="L142" s="86"/>
      <c r="M142" s="98"/>
      <c r="N142" s="86"/>
      <c r="O142" s="81"/>
      <c r="P142" s="99"/>
    </row>
    <row r="143" spans="2:16" customFormat="1" x14ac:dyDescent="0.25">
      <c r="B143" s="84"/>
      <c r="C143" s="85"/>
      <c r="D143" s="11" t="str">
        <f>Basisgegevens!$D$53</f>
        <v>vrachtauto 8x4, geïsoleerd 20 ton</v>
      </c>
      <c r="E143" s="85"/>
      <c r="F143" s="85"/>
      <c r="G143" s="85"/>
      <c r="H143" s="86" t="s">
        <v>111</v>
      </c>
      <c r="I143" s="87">
        <v>10</v>
      </c>
      <c r="J143" s="9"/>
      <c r="K143" s="87">
        <f>K141/10</f>
        <v>0</v>
      </c>
      <c r="L143" s="86"/>
      <c r="M143" s="98">
        <f>Basisgegevens!$M$53</f>
        <v>60</v>
      </c>
      <c r="N143" s="86"/>
      <c r="O143" s="81">
        <f>M143*K143</f>
        <v>0</v>
      </c>
      <c r="P143" s="99"/>
    </row>
    <row r="144" spans="2:16" customFormat="1" x14ac:dyDescent="0.25">
      <c r="B144" s="84"/>
      <c r="C144" s="85"/>
      <c r="D144" s="86" t="s">
        <v>254</v>
      </c>
      <c r="E144" s="85"/>
      <c r="F144" s="85"/>
      <c r="G144" s="85"/>
      <c r="H144" s="100"/>
      <c r="I144" s="87"/>
      <c r="J144" s="9"/>
      <c r="K144" s="87"/>
      <c r="L144" s="86"/>
      <c r="M144" s="98"/>
      <c r="N144" s="86"/>
      <c r="O144" s="81"/>
      <c r="P144" s="99"/>
    </row>
    <row r="145" spans="2:18" customFormat="1" x14ac:dyDescent="0.25">
      <c r="B145" s="84"/>
      <c r="C145" s="85"/>
      <c r="D145" s="45" t="str">
        <f>Basisgegevens!$D$18</f>
        <v>landmeetploeg, 2 man incl. materieel</v>
      </c>
      <c r="E145" s="85"/>
      <c r="F145" s="85"/>
      <c r="G145" s="85"/>
      <c r="H145" s="100" t="s">
        <v>111</v>
      </c>
      <c r="I145" s="87">
        <v>275</v>
      </c>
      <c r="J145" s="9"/>
      <c r="K145" s="87">
        <f>K99/I145</f>
        <v>0</v>
      </c>
      <c r="L145" s="86"/>
      <c r="M145" s="98">
        <f>Basisgegevens!$M$18</f>
        <v>110</v>
      </c>
      <c r="N145" s="86"/>
      <c r="O145" s="81">
        <f>M145*K145</f>
        <v>0</v>
      </c>
      <c r="P145" s="99"/>
    </row>
    <row r="146" spans="2:18" customFormat="1" x14ac:dyDescent="0.25">
      <c r="B146" s="84"/>
      <c r="C146" s="85"/>
      <c r="D146" s="86" t="s">
        <v>255</v>
      </c>
      <c r="E146" s="85"/>
      <c r="F146" s="85"/>
      <c r="G146" s="85"/>
      <c r="H146" s="100"/>
      <c r="I146" s="87"/>
      <c r="J146" s="9"/>
      <c r="K146" s="87"/>
      <c r="L146" s="86"/>
      <c r="M146" s="98"/>
      <c r="N146" s="86"/>
      <c r="O146" s="81"/>
      <c r="P146" s="99"/>
    </row>
    <row r="147" spans="2:18" customFormat="1" x14ac:dyDescent="0.25">
      <c r="B147" s="84"/>
      <c r="C147" s="85"/>
      <c r="D147" s="45" t="str">
        <f>Basisgegevens!$D$122</f>
        <v>thermoplast 1:1, breedte 100 mm</v>
      </c>
      <c r="E147" s="85"/>
      <c r="F147" s="85"/>
      <c r="G147" s="85"/>
      <c r="H147" s="100" t="s">
        <v>261</v>
      </c>
      <c r="I147" s="87">
        <v>1</v>
      </c>
      <c r="J147" s="9"/>
      <c r="K147" s="87">
        <f>K99/6.2/1000</f>
        <v>0</v>
      </c>
      <c r="L147" s="86"/>
      <c r="M147" s="98">
        <f>Basisgegevens!$M$122</f>
        <v>2000</v>
      </c>
      <c r="N147" s="86"/>
      <c r="O147" s="81">
        <f>M147*K147</f>
        <v>0</v>
      </c>
      <c r="P147" s="99"/>
    </row>
    <row r="148" spans="2:18" customFormat="1" x14ac:dyDescent="0.25">
      <c r="B148" s="84"/>
      <c r="C148" s="85"/>
      <c r="D148" s="45" t="str">
        <f>Basisgegevens!$D$123</f>
        <v>thermoplast figuratie</v>
      </c>
      <c r="E148" s="85"/>
      <c r="F148" s="85"/>
      <c r="G148" s="85"/>
      <c r="H148" s="100" t="s">
        <v>59</v>
      </c>
      <c r="I148" s="87">
        <v>0.05</v>
      </c>
      <c r="J148" s="9"/>
      <c r="K148" s="87">
        <f>I148*K99</f>
        <v>0</v>
      </c>
      <c r="L148" s="86"/>
      <c r="M148" s="98">
        <f>Basisgegevens!$M$123</f>
        <v>45</v>
      </c>
      <c r="N148" s="86"/>
      <c r="O148" s="81">
        <f>M148*K148</f>
        <v>0</v>
      </c>
      <c r="P148" s="99"/>
    </row>
    <row r="149" spans="2:18" x14ac:dyDescent="0.25">
      <c r="B149" s="84"/>
      <c r="C149" s="85"/>
      <c r="D149" s="86" t="s">
        <v>262</v>
      </c>
      <c r="E149" s="85"/>
      <c r="F149" s="85"/>
      <c r="G149" s="85"/>
      <c r="H149" s="86" t="s">
        <v>135</v>
      </c>
      <c r="I149" s="89"/>
      <c r="J149" s="9"/>
      <c r="K149" s="87"/>
      <c r="L149" s="86"/>
      <c r="M149" s="86"/>
      <c r="N149" s="86"/>
      <c r="O149" s="86"/>
      <c r="P149" s="99"/>
      <c r="Q149"/>
      <c r="R149"/>
    </row>
    <row r="150" spans="2:18" x14ac:dyDescent="0.25">
      <c r="B150" s="84"/>
      <c r="C150" s="85"/>
      <c r="D150" s="11" t="str">
        <f>Basisgegevens!$D$14</f>
        <v>stratenmaker</v>
      </c>
      <c r="E150" s="85"/>
      <c r="F150" s="85"/>
      <c r="G150" s="85"/>
      <c r="H150" s="86" t="s">
        <v>111</v>
      </c>
      <c r="I150" s="87">
        <v>8</v>
      </c>
      <c r="J150" s="9"/>
      <c r="K150" s="87">
        <f>$K$99/6.3/I150</f>
        <v>0</v>
      </c>
      <c r="L150" s="86"/>
      <c r="M150" s="98">
        <f>Basisgegevens!$M$14</f>
        <v>38</v>
      </c>
      <c r="N150" s="86"/>
      <c r="O150" s="81">
        <f>M150*K150</f>
        <v>0</v>
      </c>
      <c r="P150" s="99"/>
      <c r="Q150"/>
      <c r="R150"/>
    </row>
    <row r="151" spans="2:18" customFormat="1" x14ac:dyDescent="0.25">
      <c r="B151" s="84"/>
      <c r="C151" s="85"/>
      <c r="D151" s="11" t="str">
        <f>Basisgegevens!$D$14</f>
        <v>stratenmaker</v>
      </c>
      <c r="E151" s="85"/>
      <c r="F151" s="85"/>
      <c r="G151" s="85"/>
      <c r="H151" s="86" t="s">
        <v>111</v>
      </c>
      <c r="I151" s="87">
        <v>8</v>
      </c>
      <c r="J151" s="9"/>
      <c r="K151" s="87">
        <f>$K$99/6.3/I151</f>
        <v>0</v>
      </c>
      <c r="L151" s="86"/>
      <c r="M151" s="98">
        <f>Basisgegevens!$M$14</f>
        <v>38</v>
      </c>
      <c r="N151" s="86"/>
      <c r="O151" s="81">
        <f>M151*K151</f>
        <v>0</v>
      </c>
      <c r="P151" s="99"/>
    </row>
    <row r="152" spans="2:18" customFormat="1" x14ac:dyDescent="0.25">
      <c r="B152" s="84"/>
      <c r="C152" s="85"/>
      <c r="D152" s="45" t="str">
        <f>Basisgegevens!$D$13</f>
        <v>grondwerker</v>
      </c>
      <c r="E152" s="85"/>
      <c r="F152" s="85"/>
      <c r="G152" s="85"/>
      <c r="H152" s="100" t="s">
        <v>111</v>
      </c>
      <c r="I152" s="87">
        <v>8</v>
      </c>
      <c r="J152" s="9"/>
      <c r="K152" s="87">
        <f>$K$99/6.3/I152</f>
        <v>0</v>
      </c>
      <c r="L152" s="86"/>
      <c r="M152" s="98">
        <f>Basisgegevens!$M$13</f>
        <v>35</v>
      </c>
      <c r="N152" s="86"/>
      <c r="O152" s="81">
        <f>M152*K152</f>
        <v>0</v>
      </c>
      <c r="P152" s="99"/>
    </row>
    <row r="153" spans="2:18" customFormat="1" x14ac:dyDescent="0.25">
      <c r="B153" s="84"/>
      <c r="C153" s="85"/>
      <c r="D153" s="11" t="str">
        <f>Basisgegevens!$D$38</f>
        <v>wiellaadschop 1 m³</v>
      </c>
      <c r="E153" s="85"/>
      <c r="F153" s="85"/>
      <c r="G153" s="85"/>
      <c r="H153" s="86" t="s">
        <v>111</v>
      </c>
      <c r="I153" s="87">
        <v>100</v>
      </c>
      <c r="J153" s="9"/>
      <c r="K153" s="87">
        <f>$K$99/6.3/I153</f>
        <v>0</v>
      </c>
      <c r="L153" s="86"/>
      <c r="M153" s="98">
        <f>Basisgegevens!$M$38</f>
        <v>67.5</v>
      </c>
      <c r="N153" s="86"/>
      <c r="O153" s="81">
        <f>K153*M153</f>
        <v>0</v>
      </c>
      <c r="P153" s="99"/>
    </row>
    <row r="154" spans="2:18" customFormat="1" x14ac:dyDescent="0.25">
      <c r="B154" s="110"/>
      <c r="C154" s="111"/>
      <c r="D154" s="10" t="s">
        <v>215</v>
      </c>
      <c r="E154" s="85"/>
      <c r="F154" s="85"/>
      <c r="G154" s="85"/>
      <c r="H154" s="86"/>
      <c r="I154" s="87"/>
      <c r="J154" s="9"/>
      <c r="K154" s="87"/>
      <c r="L154" s="86"/>
      <c r="M154" s="98"/>
      <c r="N154" s="86"/>
      <c r="O154" s="81"/>
      <c r="P154" s="112"/>
    </row>
    <row r="155" spans="2:18" customFormat="1" x14ac:dyDescent="0.25">
      <c r="B155" s="110"/>
      <c r="C155" s="111"/>
      <c r="D155" s="11" t="str">
        <f>Basisgegevens!$D$90</f>
        <v>schraalbeton</v>
      </c>
      <c r="E155" s="85"/>
      <c r="F155" s="85"/>
      <c r="G155" s="85"/>
      <c r="H155" s="86" t="s">
        <v>168</v>
      </c>
      <c r="I155" s="87">
        <v>1</v>
      </c>
      <c r="J155" s="9"/>
      <c r="K155" s="87">
        <f>K99/6.3*2/55</f>
        <v>0</v>
      </c>
      <c r="L155" s="86"/>
      <c r="M155" s="98">
        <f>Basisgegevens!$M$90</f>
        <v>38</v>
      </c>
      <c r="N155" s="86"/>
      <c r="O155" s="81">
        <f>K155*M155</f>
        <v>0</v>
      </c>
      <c r="P155" s="112"/>
    </row>
    <row r="156" spans="2:18" customFormat="1" x14ac:dyDescent="0.25">
      <c r="B156" s="110"/>
      <c r="C156" s="111"/>
      <c r="D156" s="86" t="s">
        <v>214</v>
      </c>
      <c r="E156" s="85"/>
      <c r="F156" s="85"/>
      <c r="G156" s="85"/>
      <c r="H156" s="100"/>
      <c r="I156" s="87"/>
      <c r="J156" s="9"/>
      <c r="K156" s="87"/>
      <c r="L156" s="86"/>
      <c r="M156" s="98"/>
      <c r="N156" s="86"/>
      <c r="O156" s="81"/>
      <c r="P156" s="112"/>
    </row>
    <row r="157" spans="2:18" customFormat="1" x14ac:dyDescent="0.25">
      <c r="B157" s="110"/>
      <c r="C157" s="111"/>
      <c r="D157" s="45" t="str">
        <f>Basisgegevens!$D$115</f>
        <v>trottoirband 180/200x250</v>
      </c>
      <c r="E157" s="85"/>
      <c r="F157" s="85"/>
      <c r="G157" s="85"/>
      <c r="H157" s="100" t="s">
        <v>60</v>
      </c>
      <c r="I157" s="87">
        <v>1</v>
      </c>
      <c r="J157" s="9"/>
      <c r="K157" s="87">
        <f>K99/6.3*2</f>
        <v>0</v>
      </c>
      <c r="L157" s="86"/>
      <c r="M157" s="98">
        <f>Basisgegevens!$M$115</f>
        <v>12</v>
      </c>
      <c r="N157" s="86"/>
      <c r="O157" s="81">
        <f>M157*K157</f>
        <v>0</v>
      </c>
      <c r="P157" s="112"/>
    </row>
    <row r="158" spans="2:18" customFormat="1" x14ac:dyDescent="0.25">
      <c r="B158" s="110"/>
      <c r="C158" s="111"/>
      <c r="D158" s="86" t="s">
        <v>270</v>
      </c>
      <c r="E158" s="85"/>
      <c r="F158" s="85"/>
      <c r="G158" s="85"/>
      <c r="H158" s="100"/>
      <c r="I158" s="90"/>
      <c r="J158" s="9"/>
      <c r="K158" s="87"/>
      <c r="L158" s="86"/>
      <c r="M158" s="98"/>
      <c r="N158" s="86"/>
      <c r="O158" s="81"/>
      <c r="P158" s="112"/>
    </row>
    <row r="159" spans="2:18" customFormat="1" x14ac:dyDescent="0.25">
      <c r="B159" s="110"/>
      <c r="C159" s="111"/>
      <c r="D159" s="45" t="str">
        <f>Basisgegevens!$D$107</f>
        <v xml:space="preserve">betontegel grijs, 30/15 dik 45 </v>
      </c>
      <c r="E159" s="85"/>
      <c r="F159" s="85"/>
      <c r="G159" s="85"/>
      <c r="H159" s="100" t="s">
        <v>208</v>
      </c>
      <c r="I159" s="90">
        <v>1</v>
      </c>
      <c r="J159" s="9"/>
      <c r="K159" s="87">
        <f>K99/6.3*2/22*3.33</f>
        <v>0</v>
      </c>
      <c r="L159" s="86"/>
      <c r="M159" s="88">
        <f>Basisgegevens!$M$107</f>
        <v>9.25</v>
      </c>
      <c r="N159" s="86"/>
      <c r="O159" s="81">
        <f>K159*M159</f>
        <v>0</v>
      </c>
      <c r="P159" s="112"/>
    </row>
    <row r="160" spans="2:18" x14ac:dyDescent="0.25">
      <c r="B160" s="73"/>
      <c r="C160" s="83"/>
      <c r="D160" s="83" t="s">
        <v>22</v>
      </c>
      <c r="E160" s="83"/>
      <c r="F160" s="83"/>
      <c r="G160" s="83"/>
      <c r="H160" s="83" t="str">
        <f>H99</f>
        <v>m2</v>
      </c>
      <c r="I160" s="80"/>
      <c r="J160" s="83"/>
      <c r="K160" s="80">
        <f>K99</f>
        <v>0</v>
      </c>
      <c r="L160" s="83"/>
      <c r="M160" s="103" t="e">
        <f>O160/K99</f>
        <v>#DIV/0!</v>
      </c>
      <c r="N160" s="83"/>
      <c r="O160" s="103">
        <f>SUM(O100:O159)</f>
        <v>0</v>
      </c>
      <c r="P160" s="104"/>
      <c r="Q160"/>
      <c r="R160"/>
    </row>
    <row r="161" spans="2:20" ht="5.0999999999999996" customHeight="1" thickBot="1" x14ac:dyDescent="0.3">
      <c r="B161" s="12"/>
      <c r="C161" s="13"/>
      <c r="D161" s="13"/>
      <c r="E161" s="13"/>
      <c r="F161" s="13"/>
      <c r="G161" s="13"/>
      <c r="H161" s="13"/>
      <c r="I161" s="15"/>
      <c r="J161" s="13"/>
      <c r="K161" s="15"/>
      <c r="L161" s="13"/>
      <c r="M161" s="13"/>
      <c r="N161" s="13"/>
      <c r="O161" s="13"/>
      <c r="P161" s="14"/>
      <c r="Q161"/>
      <c r="R161"/>
    </row>
    <row r="162" spans="2:20" ht="30" customHeight="1" thickBot="1" x14ac:dyDescent="0.3"/>
    <row r="163" spans="2:20" ht="5.0999999999999996" customHeight="1" x14ac:dyDescent="0.25">
      <c r="B163" s="3"/>
      <c r="C163" s="4"/>
      <c r="D163" s="4"/>
      <c r="E163" s="4"/>
      <c r="F163" s="4"/>
      <c r="G163" s="4"/>
      <c r="H163" s="55"/>
      <c r="I163" s="4"/>
      <c r="J163" s="4"/>
      <c r="K163" s="4"/>
      <c r="L163" s="4"/>
      <c r="M163" s="4"/>
      <c r="N163" s="4"/>
      <c r="O163" s="4"/>
      <c r="P163" s="5"/>
      <c r="Q163"/>
      <c r="R163"/>
    </row>
    <row r="164" spans="2:20" x14ac:dyDescent="0.25">
      <c r="B164" s="34"/>
      <c r="C164" s="94"/>
      <c r="D164" s="36"/>
      <c r="E164" s="36"/>
      <c r="F164" s="36"/>
      <c r="G164" s="36"/>
      <c r="H164" s="36"/>
      <c r="I164" s="44"/>
      <c r="J164" s="36"/>
      <c r="K164" s="44"/>
      <c r="L164" s="36"/>
      <c r="M164" s="36"/>
      <c r="N164" s="36"/>
      <c r="O164" s="36"/>
      <c r="P164" s="37"/>
      <c r="Q164"/>
      <c r="R164" s="105" t="s">
        <v>137</v>
      </c>
    </row>
    <row r="165" spans="2:20" x14ac:dyDescent="0.25">
      <c r="B165" s="34"/>
      <c r="C165" s="35" t="s">
        <v>222</v>
      </c>
      <c r="D165" s="36"/>
      <c r="E165" s="36"/>
      <c r="F165" s="36"/>
      <c r="G165" s="36"/>
      <c r="H165"/>
      <c r="I165" s="44"/>
      <c r="J165"/>
      <c r="K165" s="44"/>
      <c r="L165" s="36"/>
      <c r="O165" s="71" t="s">
        <v>62</v>
      </c>
      <c r="P165" s="37"/>
      <c r="Q165"/>
      <c r="R165" s="1" t="s">
        <v>272</v>
      </c>
    </row>
    <row r="166" spans="2:20" ht="15.75" thickBot="1" x14ac:dyDescent="0.3">
      <c r="B166" s="68"/>
      <c r="C166" s="48" t="s">
        <v>56</v>
      </c>
      <c r="D166" s="48" t="s">
        <v>55</v>
      </c>
      <c r="E166" s="50"/>
      <c r="F166" s="48"/>
      <c r="G166" s="48"/>
      <c r="H166" s="48" t="s">
        <v>107</v>
      </c>
      <c r="I166" s="78" t="s">
        <v>108</v>
      </c>
      <c r="J166" s="69"/>
      <c r="K166" s="82" t="s">
        <v>110</v>
      </c>
      <c r="L166" s="48"/>
      <c r="M166" s="48" t="s">
        <v>109</v>
      </c>
      <c r="N166" s="48"/>
      <c r="O166" s="48" t="s">
        <v>19</v>
      </c>
      <c r="P166" s="70"/>
      <c r="Q166"/>
      <c r="R166" t="s">
        <v>181</v>
      </c>
    </row>
    <row r="167" spans="2:20" x14ac:dyDescent="0.25">
      <c r="B167" s="84"/>
      <c r="C167" s="85"/>
      <c r="D167" s="86" t="s">
        <v>223</v>
      </c>
      <c r="E167" s="85"/>
      <c r="F167" s="85"/>
      <c r="G167" s="85"/>
      <c r="H167" s="86" t="s">
        <v>59</v>
      </c>
      <c r="I167" s="89"/>
      <c r="J167" s="9"/>
      <c r="K167" s="87">
        <f>SUM(Input!$I$46)</f>
        <v>0</v>
      </c>
      <c r="L167" s="86"/>
      <c r="M167" s="86"/>
      <c r="N167" s="86"/>
      <c r="O167" s="86"/>
      <c r="P167" s="99"/>
      <c r="Q167"/>
      <c r="R167" s="1" t="s">
        <v>213</v>
      </c>
    </row>
    <row r="168" spans="2:20" x14ac:dyDescent="0.25">
      <c r="B168" s="84"/>
      <c r="C168" s="85"/>
      <c r="D168" s="11" t="str">
        <f>Basisgegevens!$D$14</f>
        <v>stratenmaker</v>
      </c>
      <c r="E168" s="85"/>
      <c r="F168" s="85"/>
      <c r="G168" s="85"/>
      <c r="H168" s="86" t="s">
        <v>111</v>
      </c>
      <c r="I168" s="87">
        <v>18.75</v>
      </c>
      <c r="J168" s="9"/>
      <c r="K168" s="87">
        <f>K167/I168</f>
        <v>0</v>
      </c>
      <c r="L168" s="86"/>
      <c r="M168" s="98">
        <f>Basisgegevens!$M$14</f>
        <v>38</v>
      </c>
      <c r="N168" s="86"/>
      <c r="O168" s="81">
        <f>M168*K168</f>
        <v>0</v>
      </c>
      <c r="P168" s="99"/>
      <c r="Q168"/>
      <c r="R168" s="66" t="s">
        <v>217</v>
      </c>
    </row>
    <row r="169" spans="2:20" customFormat="1" x14ac:dyDescent="0.25">
      <c r="B169" s="84"/>
      <c r="C169" s="85"/>
      <c r="D169" s="11" t="str">
        <f>Basisgegevens!$D$14</f>
        <v>stratenmaker</v>
      </c>
      <c r="E169" s="85"/>
      <c r="F169" s="85"/>
      <c r="G169" s="85"/>
      <c r="H169" s="86" t="s">
        <v>111</v>
      </c>
      <c r="I169" s="87">
        <v>18.75</v>
      </c>
      <c r="J169" s="9"/>
      <c r="K169" s="87">
        <f>K167/I169</f>
        <v>0</v>
      </c>
      <c r="L169" s="86"/>
      <c r="M169" s="98">
        <f>Basisgegevens!$M$14</f>
        <v>38</v>
      </c>
      <c r="N169" s="86"/>
      <c r="O169" s="81">
        <f>M169*K169</f>
        <v>0</v>
      </c>
      <c r="P169" s="99"/>
      <c r="R169" t="s">
        <v>251</v>
      </c>
    </row>
    <row r="170" spans="2:20" customFormat="1" x14ac:dyDescent="0.25">
      <c r="B170" s="84"/>
      <c r="C170" s="85"/>
      <c r="D170" s="45" t="str">
        <f>Basisgegevens!$D$13</f>
        <v>grondwerker</v>
      </c>
      <c r="E170" s="85"/>
      <c r="F170" s="85"/>
      <c r="G170" s="85"/>
      <c r="H170" s="100" t="s">
        <v>111</v>
      </c>
      <c r="I170" s="87">
        <v>18.75</v>
      </c>
      <c r="J170" s="9"/>
      <c r="K170" s="87">
        <f>K167/I170</f>
        <v>0</v>
      </c>
      <c r="L170" s="86"/>
      <c r="M170" s="98">
        <f>Basisgegevens!$M$13</f>
        <v>35</v>
      </c>
      <c r="N170" s="86"/>
      <c r="O170" s="81">
        <f>M170*K170</f>
        <v>0</v>
      </c>
      <c r="P170" s="99"/>
      <c r="R170" s="1" t="s">
        <v>220</v>
      </c>
    </row>
    <row r="171" spans="2:20" customFormat="1" x14ac:dyDescent="0.25">
      <c r="B171" s="84"/>
      <c r="C171" s="85"/>
      <c r="D171" s="11" t="str">
        <f>Basisgegevens!$D$38</f>
        <v>wiellaadschop 1 m³</v>
      </c>
      <c r="E171" s="85"/>
      <c r="F171" s="85"/>
      <c r="G171" s="85"/>
      <c r="H171" s="86" t="s">
        <v>111</v>
      </c>
      <c r="I171" s="87">
        <v>125</v>
      </c>
      <c r="J171" s="9"/>
      <c r="K171" s="87">
        <f>K167/I171</f>
        <v>0</v>
      </c>
      <c r="L171" s="86"/>
      <c r="M171" s="98">
        <f>Basisgegevens!$M$38</f>
        <v>67.5</v>
      </c>
      <c r="N171" s="86"/>
      <c r="O171" s="81">
        <f>K171*M171</f>
        <v>0</v>
      </c>
      <c r="P171" s="99"/>
      <c r="R171" s="66" t="s">
        <v>221</v>
      </c>
    </row>
    <row r="172" spans="2:20" customFormat="1" x14ac:dyDescent="0.25">
      <c r="B172" s="84"/>
      <c r="C172" s="85"/>
      <c r="D172" s="11" t="str">
        <f>Basisgegevens!$D$43</f>
        <v>trilplaat 1000 kg, excl. bediening</v>
      </c>
      <c r="E172" s="85"/>
      <c r="F172" s="85"/>
      <c r="G172" s="85"/>
      <c r="H172" s="86" t="s">
        <v>170</v>
      </c>
      <c r="I172" s="87">
        <v>1000</v>
      </c>
      <c r="J172" s="9"/>
      <c r="K172" s="87">
        <f>K167/I172</f>
        <v>0</v>
      </c>
      <c r="L172" s="86"/>
      <c r="M172" s="98">
        <f>Basisgegevens!$M$43</f>
        <v>20</v>
      </c>
      <c r="N172" s="86"/>
      <c r="O172" s="81">
        <f>K172*M172</f>
        <v>0</v>
      </c>
      <c r="P172" s="99"/>
      <c r="R172" s="1"/>
    </row>
    <row r="173" spans="2:20" customFormat="1" x14ac:dyDescent="0.25">
      <c r="B173" s="84"/>
      <c r="C173" s="85"/>
      <c r="D173" s="11" t="str">
        <f>Basisgegevens!$D$86</f>
        <v>brekerzand</v>
      </c>
      <c r="E173" s="85"/>
      <c r="F173" s="85"/>
      <c r="G173" s="85"/>
      <c r="H173" s="86" t="s">
        <v>168</v>
      </c>
      <c r="I173" s="87">
        <v>1</v>
      </c>
      <c r="J173" s="9"/>
      <c r="K173" s="87">
        <f>K167/100*1/1.7</f>
        <v>0</v>
      </c>
      <c r="L173" s="86"/>
      <c r="M173" s="98">
        <f>Basisgegevens!$M$86</f>
        <v>8.5</v>
      </c>
      <c r="N173" s="86"/>
      <c r="O173" s="81">
        <f>K173*M173</f>
        <v>0</v>
      </c>
      <c r="P173" s="99"/>
      <c r="R173" s="58" t="s">
        <v>364</v>
      </c>
      <c r="S173" s="58" t="str">
        <f>D180</f>
        <v>sbs KF rood, dik 80</v>
      </c>
      <c r="T173" s="1"/>
    </row>
    <row r="174" spans="2:20" customFormat="1" x14ac:dyDescent="0.25">
      <c r="B174" s="84"/>
      <c r="C174" s="85"/>
      <c r="D174" s="10" t="s">
        <v>209</v>
      </c>
      <c r="E174" s="85"/>
      <c r="F174" s="85"/>
      <c r="G174" s="85"/>
      <c r="H174" s="86"/>
      <c r="I174" s="87"/>
      <c r="J174" s="9"/>
      <c r="K174" s="87"/>
      <c r="L174" s="86"/>
      <c r="M174" s="98"/>
      <c r="N174" s="86"/>
      <c r="O174" s="81"/>
      <c r="P174" s="99"/>
      <c r="R174" s="109">
        <v>3</v>
      </c>
      <c r="S174" s="96">
        <f>K167/5*4.6*45/1000*1</f>
        <v>0</v>
      </c>
      <c r="T174" s="118">
        <v>1</v>
      </c>
    </row>
    <row r="175" spans="2:20" customFormat="1" x14ac:dyDescent="0.25">
      <c r="B175" s="84"/>
      <c r="C175" s="85"/>
      <c r="D175" s="11" t="str">
        <f>Basisgegevens!$D$38</f>
        <v>wiellaadschop 1 m³</v>
      </c>
      <c r="E175" s="85"/>
      <c r="F175" s="85"/>
      <c r="G175" s="85"/>
      <c r="H175" s="86" t="s">
        <v>111</v>
      </c>
      <c r="I175" s="87">
        <v>125</v>
      </c>
      <c r="J175" s="9"/>
      <c r="K175" s="87">
        <f>K167/I175/5</f>
        <v>0</v>
      </c>
      <c r="L175" s="86"/>
      <c r="M175" s="98">
        <f>Basisgegevens!$M$38</f>
        <v>67.5</v>
      </c>
      <c r="N175" s="86"/>
      <c r="O175" s="81">
        <f>K175*M175</f>
        <v>0</v>
      </c>
      <c r="P175" s="99"/>
      <c r="R175" s="17">
        <v>2</v>
      </c>
      <c r="S175" s="96">
        <f>K167/5*4.6*45/1000*0.15</f>
        <v>0</v>
      </c>
      <c r="T175" s="118">
        <v>0.15</v>
      </c>
    </row>
    <row r="176" spans="2:20" customFormat="1" x14ac:dyDescent="0.25">
      <c r="B176" s="84"/>
      <c r="C176" s="85"/>
      <c r="D176" s="45" t="str">
        <f>Basisgegevens!$D$13</f>
        <v>grondwerker</v>
      </c>
      <c r="E176" s="85"/>
      <c r="F176" s="85"/>
      <c r="G176" s="85"/>
      <c r="H176" s="100" t="s">
        <v>111</v>
      </c>
      <c r="I176" s="87">
        <v>125</v>
      </c>
      <c r="J176" s="9"/>
      <c r="K176" s="87">
        <f>K167/I176/5</f>
        <v>0</v>
      </c>
      <c r="L176" s="86"/>
      <c r="M176" s="98">
        <f>Basisgegevens!$M$13</f>
        <v>35</v>
      </c>
      <c r="N176" s="86"/>
      <c r="O176" s="81">
        <f>M176*K176</f>
        <v>0</v>
      </c>
      <c r="P176" s="99"/>
      <c r="R176" t="s">
        <v>365</v>
      </c>
      <c r="S176" s="126">
        <f>VLOOKUP(Input!$R$14,R174:S175,2,0)</f>
        <v>0</v>
      </c>
      <c r="T176" s="1"/>
    </row>
    <row r="177" spans="2:20" customFormat="1" x14ac:dyDescent="0.25">
      <c r="B177" s="84"/>
      <c r="C177" s="85"/>
      <c r="D177" s="86" t="s">
        <v>210</v>
      </c>
      <c r="E177" s="85"/>
      <c r="F177" s="85"/>
      <c r="G177" s="85"/>
      <c r="H177" s="100"/>
      <c r="I177" s="87"/>
      <c r="J177" s="9"/>
      <c r="K177" s="87"/>
      <c r="L177" s="86"/>
      <c r="M177" s="98"/>
      <c r="N177" s="86"/>
      <c r="O177" s="81"/>
      <c r="P177" s="99"/>
      <c r="R177" s="58" t="s">
        <v>364</v>
      </c>
      <c r="S177" s="58" t="str">
        <f>D187</f>
        <v>schraalbeton</v>
      </c>
      <c r="T177" s="1"/>
    </row>
    <row r="178" spans="2:20" customFormat="1" x14ac:dyDescent="0.25">
      <c r="B178" s="84"/>
      <c r="C178" s="85"/>
      <c r="D178" s="45" t="str">
        <f>Basisgegevens!$D$86</f>
        <v>brekerzand</v>
      </c>
      <c r="E178" s="85"/>
      <c r="F178" s="85"/>
      <c r="G178" s="85"/>
      <c r="H178" s="100" t="s">
        <v>168</v>
      </c>
      <c r="I178" s="87">
        <v>1</v>
      </c>
      <c r="J178" s="9"/>
      <c r="K178" s="87">
        <f>K167*0.05*1.7</f>
        <v>0</v>
      </c>
      <c r="L178" s="86"/>
      <c r="M178" s="98">
        <f>Basisgegevens!$M$86</f>
        <v>8.5</v>
      </c>
      <c r="N178" s="86"/>
      <c r="O178" s="81">
        <f>M178*K178</f>
        <v>0</v>
      </c>
      <c r="P178" s="99"/>
      <c r="R178" s="109">
        <v>3</v>
      </c>
      <c r="S178" s="96">
        <f>K167/5*2/55*1</f>
        <v>0</v>
      </c>
      <c r="T178" s="118">
        <v>1</v>
      </c>
    </row>
    <row r="179" spans="2:20" customFormat="1" x14ac:dyDescent="0.25">
      <c r="B179" s="84"/>
      <c r="C179" s="85"/>
      <c r="D179" s="86" t="s">
        <v>204</v>
      </c>
      <c r="E179" s="85"/>
      <c r="F179" s="85"/>
      <c r="G179" s="85"/>
      <c r="H179" s="100"/>
      <c r="I179" s="90"/>
      <c r="J179" s="9"/>
      <c r="K179" s="87"/>
      <c r="L179" s="86"/>
      <c r="M179" s="98"/>
      <c r="N179" s="86"/>
      <c r="O179" s="81"/>
      <c r="P179" s="99"/>
      <c r="R179" s="17">
        <v>2</v>
      </c>
      <c r="S179" s="96">
        <f>K167/5*2/55*0.15</f>
        <v>0</v>
      </c>
      <c r="T179" s="118">
        <v>0.15</v>
      </c>
    </row>
    <row r="180" spans="2:20" x14ac:dyDescent="0.25">
      <c r="B180" s="84"/>
      <c r="C180" s="85"/>
      <c r="D180" s="45" t="str">
        <f>Basisgegevens!$D$106</f>
        <v>sbs KF rood, dik 80</v>
      </c>
      <c r="E180" s="85"/>
      <c r="F180" s="85"/>
      <c r="G180" s="85"/>
      <c r="H180" s="100" t="s">
        <v>208</v>
      </c>
      <c r="I180" s="90">
        <v>1</v>
      </c>
      <c r="J180" s="9"/>
      <c r="K180" s="87">
        <f>S176</f>
        <v>0</v>
      </c>
      <c r="L180" s="86"/>
      <c r="M180" s="88">
        <f>Basisgegevens!$M$106</f>
        <v>535</v>
      </c>
      <c r="N180" s="86"/>
      <c r="O180" s="81">
        <f>K180*M180</f>
        <v>0</v>
      </c>
      <c r="P180" s="99"/>
      <c r="Q180"/>
      <c r="R180" t="s">
        <v>365</v>
      </c>
      <c r="S180" s="126">
        <f>VLOOKUP(Input!$R$14,R178:S179,2,0)</f>
        <v>0</v>
      </c>
    </row>
    <row r="181" spans="2:20" x14ac:dyDescent="0.25">
      <c r="B181" s="84"/>
      <c r="C181" s="85"/>
      <c r="D181" s="86" t="s">
        <v>212</v>
      </c>
      <c r="E181" s="85"/>
      <c r="F181" s="85"/>
      <c r="G181" s="85"/>
      <c r="H181" s="86" t="s">
        <v>29</v>
      </c>
      <c r="I181" s="89"/>
      <c r="J181" s="9"/>
      <c r="K181" s="87"/>
      <c r="L181" s="86"/>
      <c r="M181" s="86"/>
      <c r="N181" s="86"/>
      <c r="O181" s="86"/>
      <c r="P181" s="99"/>
      <c r="Q181"/>
      <c r="R181" s="58" t="s">
        <v>364</v>
      </c>
      <c r="S181" s="58" t="str">
        <f>D189</f>
        <v>trottoirband 130/150x250</v>
      </c>
    </row>
    <row r="182" spans="2:20" x14ac:dyDescent="0.25">
      <c r="B182" s="84"/>
      <c r="C182" s="85"/>
      <c r="D182" s="11" t="str">
        <f>Basisgegevens!$D$14</f>
        <v>stratenmaker</v>
      </c>
      <c r="E182" s="85"/>
      <c r="F182" s="85"/>
      <c r="G182" s="85"/>
      <c r="H182" s="86" t="s">
        <v>111</v>
      </c>
      <c r="I182" s="87">
        <v>8</v>
      </c>
      <c r="J182" s="9"/>
      <c r="K182" s="87">
        <f>$K$189/I182</f>
        <v>0</v>
      </c>
      <c r="L182" s="86"/>
      <c r="M182" s="98">
        <f>Basisgegevens!$M$14</f>
        <v>38</v>
      </c>
      <c r="N182" s="86"/>
      <c r="O182" s="81">
        <f>M182*K182</f>
        <v>0</v>
      </c>
      <c r="P182" s="99"/>
      <c r="Q182"/>
      <c r="R182" s="109">
        <v>3</v>
      </c>
      <c r="S182" s="96">
        <f>K167/5*2*1</f>
        <v>0</v>
      </c>
      <c r="T182" s="118">
        <v>1</v>
      </c>
    </row>
    <row r="183" spans="2:20" customFormat="1" x14ac:dyDescent="0.25">
      <c r="B183" s="84"/>
      <c r="C183" s="85"/>
      <c r="D183" s="11" t="str">
        <f>Basisgegevens!$D$14</f>
        <v>stratenmaker</v>
      </c>
      <c r="E183" s="85"/>
      <c r="F183" s="85"/>
      <c r="G183" s="85"/>
      <c r="H183" s="86" t="s">
        <v>111</v>
      </c>
      <c r="I183" s="87">
        <v>8</v>
      </c>
      <c r="J183" s="9"/>
      <c r="K183" s="87">
        <f>$K$189/I183</f>
        <v>0</v>
      </c>
      <c r="L183" s="86"/>
      <c r="M183" s="98">
        <f>Basisgegevens!$M$14</f>
        <v>38</v>
      </c>
      <c r="N183" s="86"/>
      <c r="O183" s="81">
        <f>M183*K183</f>
        <v>0</v>
      </c>
      <c r="P183" s="99"/>
      <c r="R183" s="17">
        <v>2</v>
      </c>
      <c r="S183" s="96">
        <f>K167/5*2*0.15</f>
        <v>0</v>
      </c>
      <c r="T183" s="118">
        <v>0.15</v>
      </c>
    </row>
    <row r="184" spans="2:20" customFormat="1" x14ac:dyDescent="0.25">
      <c r="B184" s="84"/>
      <c r="C184" s="85"/>
      <c r="D184" s="45" t="str">
        <f>Basisgegevens!$D$13</f>
        <v>grondwerker</v>
      </c>
      <c r="E184" s="85"/>
      <c r="F184" s="85"/>
      <c r="G184" s="85"/>
      <c r="H184" s="100" t="s">
        <v>111</v>
      </c>
      <c r="I184" s="87">
        <v>8</v>
      </c>
      <c r="J184" s="9"/>
      <c r="K184" s="87">
        <f>$K$189/I184</f>
        <v>0</v>
      </c>
      <c r="L184" s="86"/>
      <c r="M184" s="98">
        <f>Basisgegevens!$M$13</f>
        <v>35</v>
      </c>
      <c r="N184" s="86"/>
      <c r="O184" s="81">
        <f>M184*K184</f>
        <v>0</v>
      </c>
      <c r="P184" s="99"/>
      <c r="R184" t="s">
        <v>365</v>
      </c>
      <c r="S184" s="126">
        <f>VLOOKUP(Input!$R$14,R182:S183,2,0)</f>
        <v>0</v>
      </c>
      <c r="T184" s="1"/>
    </row>
    <row r="185" spans="2:20" customFormat="1" x14ac:dyDescent="0.25">
      <c r="B185" s="84"/>
      <c r="C185" s="85"/>
      <c r="D185" s="11" t="str">
        <f>Basisgegevens!$D$38</f>
        <v>wiellaadschop 1 m³</v>
      </c>
      <c r="E185" s="85"/>
      <c r="F185" s="85"/>
      <c r="G185" s="85"/>
      <c r="H185" s="86" t="s">
        <v>111</v>
      </c>
      <c r="I185" s="87">
        <v>100</v>
      </c>
      <c r="J185" s="9"/>
      <c r="K185" s="87">
        <f>$K$189/I185</f>
        <v>0</v>
      </c>
      <c r="L185" s="86"/>
      <c r="M185" s="98">
        <f>Basisgegevens!$M$38</f>
        <v>67.5</v>
      </c>
      <c r="N185" s="86"/>
      <c r="O185" s="81">
        <f>K185*M185</f>
        <v>0</v>
      </c>
      <c r="P185" s="99"/>
      <c r="R185" s="58" t="s">
        <v>364</v>
      </c>
      <c r="S185" s="58" t="str">
        <f>D191</f>
        <v>sbs KF rood, dik 80</v>
      </c>
      <c r="T185" s="1"/>
    </row>
    <row r="186" spans="2:20" customFormat="1" x14ac:dyDescent="0.25">
      <c r="B186" s="110"/>
      <c r="C186" s="111"/>
      <c r="D186" s="10" t="s">
        <v>215</v>
      </c>
      <c r="E186" s="85"/>
      <c r="F186" s="85"/>
      <c r="G186" s="85"/>
      <c r="H186" s="86"/>
      <c r="I186" s="87"/>
      <c r="J186" s="9"/>
      <c r="K186" s="87"/>
      <c r="L186" s="86"/>
      <c r="M186" s="98"/>
      <c r="N186" s="86"/>
      <c r="O186" s="81"/>
      <c r="P186" s="112"/>
      <c r="R186" s="109">
        <v>3</v>
      </c>
      <c r="S186" s="96">
        <f>K167/5*2/1000*2*5*1</f>
        <v>0</v>
      </c>
      <c r="T186" s="118">
        <v>1</v>
      </c>
    </row>
    <row r="187" spans="2:20" customFormat="1" x14ac:dyDescent="0.25">
      <c r="B187" s="110"/>
      <c r="C187" s="111"/>
      <c r="D187" s="11" t="str">
        <f>Basisgegevens!$D$90</f>
        <v>schraalbeton</v>
      </c>
      <c r="E187" s="85"/>
      <c r="F187" s="85"/>
      <c r="G187" s="85"/>
      <c r="H187" s="86" t="s">
        <v>168</v>
      </c>
      <c r="I187" s="87">
        <v>1</v>
      </c>
      <c r="J187" s="9"/>
      <c r="K187" s="87">
        <f>S180</f>
        <v>0</v>
      </c>
      <c r="L187" s="86"/>
      <c r="M187" s="98">
        <f>Basisgegevens!$M$90</f>
        <v>38</v>
      </c>
      <c r="N187" s="86"/>
      <c r="O187" s="81">
        <f>K187*M187</f>
        <v>0</v>
      </c>
      <c r="P187" s="112"/>
      <c r="R187" s="17">
        <v>2</v>
      </c>
      <c r="S187" s="96">
        <f>K167/5*2/1000*2*5*0.15</f>
        <v>0</v>
      </c>
      <c r="T187" s="118">
        <v>0.15</v>
      </c>
    </row>
    <row r="188" spans="2:20" customFormat="1" x14ac:dyDescent="0.25">
      <c r="B188" s="110"/>
      <c r="C188" s="111"/>
      <c r="D188" s="86" t="s">
        <v>214</v>
      </c>
      <c r="E188" s="85"/>
      <c r="F188" s="85"/>
      <c r="G188" s="85"/>
      <c r="H188" s="100"/>
      <c r="I188" s="87"/>
      <c r="J188" s="9"/>
      <c r="K188" s="87"/>
      <c r="L188" s="86"/>
      <c r="M188" s="98"/>
      <c r="N188" s="86"/>
      <c r="O188" s="81"/>
      <c r="P188" s="112"/>
      <c r="R188" t="s">
        <v>365</v>
      </c>
      <c r="S188" s="126">
        <f>VLOOKUP(Input!$R$14,R186:S187,2,0)</f>
        <v>0</v>
      </c>
      <c r="T188" s="1"/>
    </row>
    <row r="189" spans="2:20" customFormat="1" x14ac:dyDescent="0.25">
      <c r="B189" s="110"/>
      <c r="C189" s="111"/>
      <c r="D189" s="45" t="str">
        <f>Basisgegevens!$D$114</f>
        <v>trottoirband 130/150x250</v>
      </c>
      <c r="E189" s="85"/>
      <c r="F189" s="85"/>
      <c r="G189" s="85"/>
      <c r="H189" s="100" t="s">
        <v>168</v>
      </c>
      <c r="I189" s="87">
        <v>1</v>
      </c>
      <c r="J189" s="9"/>
      <c r="K189" s="87">
        <f>S184</f>
        <v>0</v>
      </c>
      <c r="L189" s="86"/>
      <c r="M189" s="98">
        <f>Basisgegevens!$M$114</f>
        <v>10</v>
      </c>
      <c r="N189" s="86"/>
      <c r="O189" s="81">
        <f>M189*K189</f>
        <v>0</v>
      </c>
      <c r="P189" s="112"/>
      <c r="R189" s="58"/>
      <c r="S189" s="58"/>
      <c r="T189" s="1"/>
    </row>
    <row r="190" spans="2:20" customFormat="1" x14ac:dyDescent="0.25">
      <c r="B190" s="110"/>
      <c r="C190" s="111"/>
      <c r="D190" s="86" t="s">
        <v>204</v>
      </c>
      <c r="E190" s="85"/>
      <c r="F190" s="85"/>
      <c r="G190" s="85"/>
      <c r="H190" s="100"/>
      <c r="I190" s="90"/>
      <c r="J190" s="9"/>
      <c r="K190" s="87"/>
      <c r="L190" s="86"/>
      <c r="M190" s="98"/>
      <c r="N190" s="86"/>
      <c r="O190" s="81"/>
      <c r="P190" s="112"/>
      <c r="R190" s="109"/>
      <c r="S190" s="96"/>
      <c r="T190" s="118"/>
    </row>
    <row r="191" spans="2:20" customFormat="1" x14ac:dyDescent="0.25">
      <c r="B191" s="110"/>
      <c r="C191" s="111"/>
      <c r="D191" s="45" t="str">
        <f>Basisgegevens!$D$106</f>
        <v>sbs KF rood, dik 80</v>
      </c>
      <c r="E191" s="85"/>
      <c r="F191" s="85"/>
      <c r="G191" s="85"/>
      <c r="H191" s="100" t="s">
        <v>208</v>
      </c>
      <c r="I191" s="90">
        <v>1</v>
      </c>
      <c r="J191" s="9"/>
      <c r="K191" s="87">
        <f>S188</f>
        <v>0</v>
      </c>
      <c r="L191" s="86"/>
      <c r="M191" s="88">
        <f>Basisgegevens!$M$106</f>
        <v>535</v>
      </c>
      <c r="N191" s="86"/>
      <c r="O191" s="81">
        <f>K191*M191</f>
        <v>0</v>
      </c>
      <c r="P191" s="112"/>
      <c r="R191" s="17"/>
      <c r="S191" s="96"/>
      <c r="T191" s="118"/>
    </row>
    <row r="192" spans="2:20" x14ac:dyDescent="0.25">
      <c r="B192" s="73"/>
      <c r="C192" s="83"/>
      <c r="D192" s="83" t="s">
        <v>22</v>
      </c>
      <c r="E192" s="83"/>
      <c r="F192" s="83"/>
      <c r="G192" s="83"/>
      <c r="H192" s="83" t="str">
        <f>H167</f>
        <v>m2</v>
      </c>
      <c r="I192" s="80"/>
      <c r="J192" s="83"/>
      <c r="K192" s="80">
        <f>K167</f>
        <v>0</v>
      </c>
      <c r="L192" s="83"/>
      <c r="M192" s="103" t="e">
        <f>O192/K167</f>
        <v>#DIV/0!</v>
      </c>
      <c r="N192" s="83"/>
      <c r="O192" s="103">
        <f>SUM(O168:O191)</f>
        <v>0</v>
      </c>
      <c r="P192" s="104"/>
      <c r="Q192"/>
      <c r="R192"/>
      <c r="S192" s="126"/>
    </row>
    <row r="193" spans="2:21" ht="5.0999999999999996" customHeight="1" thickBot="1" x14ac:dyDescent="0.3">
      <c r="B193" s="12"/>
      <c r="C193" s="13"/>
      <c r="D193" s="13"/>
      <c r="E193" s="13"/>
      <c r="F193" s="13"/>
      <c r="G193" s="13"/>
      <c r="H193" s="13"/>
      <c r="I193" s="15"/>
      <c r="J193" s="13"/>
      <c r="K193" s="15"/>
      <c r="L193" s="13"/>
      <c r="M193" s="13"/>
      <c r="N193" s="13"/>
      <c r="O193" s="13"/>
      <c r="P193" s="14"/>
      <c r="Q193"/>
    </row>
    <row r="194" spans="2:21" ht="30" customHeight="1" thickBot="1" x14ac:dyDescent="0.3"/>
    <row r="195" spans="2:21" ht="5.0999999999999996" customHeight="1" x14ac:dyDescent="0.25">
      <c r="B195" s="3"/>
      <c r="C195" s="4"/>
      <c r="D195" s="4"/>
      <c r="E195" s="4"/>
      <c r="F195" s="4"/>
      <c r="G195" s="4"/>
      <c r="H195" s="55"/>
      <c r="I195" s="4"/>
      <c r="J195" s="4"/>
      <c r="K195" s="4"/>
      <c r="L195" s="4"/>
      <c r="M195" s="4"/>
      <c r="N195" s="4"/>
      <c r="O195" s="4"/>
      <c r="P195" s="5"/>
      <c r="Q195"/>
      <c r="R195"/>
    </row>
    <row r="196" spans="2:21" x14ac:dyDescent="0.25">
      <c r="B196" s="34"/>
      <c r="C196" s="94"/>
      <c r="D196" s="36"/>
      <c r="E196" s="36"/>
      <c r="F196" s="36"/>
      <c r="G196" s="36"/>
      <c r="H196" s="36"/>
      <c r="I196" s="44"/>
      <c r="J196" s="36"/>
      <c r="K196" s="44"/>
      <c r="L196" s="36"/>
      <c r="M196" s="36"/>
      <c r="N196" s="36"/>
      <c r="O196" s="36"/>
      <c r="P196" s="37"/>
      <c r="Q196"/>
      <c r="R196" s="105" t="s">
        <v>137</v>
      </c>
    </row>
    <row r="197" spans="2:21" x14ac:dyDescent="0.25">
      <c r="B197" s="34"/>
      <c r="C197" s="35" t="s">
        <v>202</v>
      </c>
      <c r="D197" s="36"/>
      <c r="E197" s="36"/>
      <c r="F197" s="36"/>
      <c r="G197" s="36"/>
      <c r="H197"/>
      <c r="I197" s="44"/>
      <c r="J197"/>
      <c r="K197" s="44"/>
      <c r="L197" s="36"/>
      <c r="O197" s="71" t="s">
        <v>62</v>
      </c>
      <c r="P197" s="37"/>
      <c r="Q197"/>
      <c r="R197" s="1" t="s">
        <v>435</v>
      </c>
    </row>
    <row r="198" spans="2:21" ht="15.75" thickBot="1" x14ac:dyDescent="0.3">
      <c r="B198" s="68"/>
      <c r="C198" s="48" t="s">
        <v>56</v>
      </c>
      <c r="D198" s="48" t="s">
        <v>55</v>
      </c>
      <c r="E198" s="50"/>
      <c r="F198" s="48"/>
      <c r="G198" s="48"/>
      <c r="H198" s="48" t="s">
        <v>107</v>
      </c>
      <c r="I198" s="78" t="s">
        <v>108</v>
      </c>
      <c r="J198" s="69"/>
      <c r="K198" s="82" t="s">
        <v>110</v>
      </c>
      <c r="L198" s="48"/>
      <c r="M198" s="48" t="s">
        <v>109</v>
      </c>
      <c r="N198" s="48"/>
      <c r="O198" s="48" t="s">
        <v>19</v>
      </c>
      <c r="P198" s="70"/>
      <c r="Q198"/>
      <c r="R198" t="s">
        <v>181</v>
      </c>
    </row>
    <row r="199" spans="2:21" x14ac:dyDescent="0.25">
      <c r="B199" s="84"/>
      <c r="C199" s="85"/>
      <c r="D199" s="86" t="s">
        <v>203</v>
      </c>
      <c r="E199" s="85"/>
      <c r="F199" s="85"/>
      <c r="G199" s="85"/>
      <c r="H199" s="86" t="s">
        <v>59</v>
      </c>
      <c r="I199" s="89"/>
      <c r="J199" s="9"/>
      <c r="K199" s="87">
        <f>Input!$K$46</f>
        <v>0</v>
      </c>
      <c r="L199" s="86"/>
      <c r="M199" s="86"/>
      <c r="N199" s="86"/>
      <c r="O199" s="86"/>
      <c r="P199" s="99"/>
      <c r="Q199"/>
      <c r="R199" s="1" t="s">
        <v>213</v>
      </c>
    </row>
    <row r="200" spans="2:21" x14ac:dyDescent="0.25">
      <c r="B200" s="84"/>
      <c r="C200" s="85"/>
      <c r="D200" s="11" t="str">
        <f>Basisgegevens!$D$14</f>
        <v>stratenmaker</v>
      </c>
      <c r="E200" s="85"/>
      <c r="F200" s="85"/>
      <c r="G200" s="85"/>
      <c r="H200" s="86" t="s">
        <v>111</v>
      </c>
      <c r="I200" s="87">
        <v>31.25</v>
      </c>
      <c r="J200" s="9"/>
      <c r="K200" s="87">
        <f>K199/I200</f>
        <v>0</v>
      </c>
      <c r="L200" s="86"/>
      <c r="M200" s="98">
        <f>Basisgegevens!$M$14</f>
        <v>38</v>
      </c>
      <c r="N200" s="86"/>
      <c r="O200" s="81">
        <f>M200*K200</f>
        <v>0</v>
      </c>
      <c r="P200" s="99"/>
      <c r="Q200"/>
      <c r="R200" s="66" t="s">
        <v>217</v>
      </c>
    </row>
    <row r="201" spans="2:21" customFormat="1" x14ac:dyDescent="0.25">
      <c r="B201" s="84"/>
      <c r="C201" s="85"/>
      <c r="D201" s="11" t="str">
        <f>Basisgegevens!$D$14</f>
        <v>stratenmaker</v>
      </c>
      <c r="E201" s="85"/>
      <c r="F201" s="85"/>
      <c r="G201" s="85"/>
      <c r="H201" s="86" t="s">
        <v>111</v>
      </c>
      <c r="I201" s="87">
        <v>31.25</v>
      </c>
      <c r="J201" s="9"/>
      <c r="K201" s="87">
        <f>K199/I201</f>
        <v>0</v>
      </c>
      <c r="L201" s="86"/>
      <c r="M201" s="98">
        <f>Basisgegevens!$M$14</f>
        <v>38</v>
      </c>
      <c r="N201" s="86"/>
      <c r="O201" s="81">
        <f>M201*K201</f>
        <v>0</v>
      </c>
      <c r="P201" s="99"/>
      <c r="R201" t="s">
        <v>251</v>
      </c>
    </row>
    <row r="202" spans="2:21" customFormat="1" x14ac:dyDescent="0.25">
      <c r="B202" s="84"/>
      <c r="C202" s="85"/>
      <c r="D202" s="45" t="str">
        <f>Basisgegevens!$D$13</f>
        <v>grondwerker</v>
      </c>
      <c r="E202" s="85"/>
      <c r="F202" s="85"/>
      <c r="G202" s="85"/>
      <c r="H202" s="100" t="s">
        <v>111</v>
      </c>
      <c r="I202" s="87">
        <v>31.25</v>
      </c>
      <c r="J202" s="9"/>
      <c r="K202" s="87">
        <f>K199/I202</f>
        <v>0</v>
      </c>
      <c r="L202" s="86"/>
      <c r="M202" s="98">
        <f>Basisgegevens!$M$13</f>
        <v>35</v>
      </c>
      <c r="N202" s="86"/>
      <c r="O202" s="81">
        <f>M202*K202</f>
        <v>0</v>
      </c>
      <c r="P202" s="99"/>
      <c r="R202" s="1" t="s">
        <v>220</v>
      </c>
    </row>
    <row r="203" spans="2:21" customFormat="1" x14ac:dyDescent="0.25">
      <c r="B203" s="84"/>
      <c r="C203" s="85"/>
      <c r="D203" s="11" t="str">
        <f>Basisgegevens!$D$38</f>
        <v>wiellaadschop 1 m³</v>
      </c>
      <c r="E203" s="85"/>
      <c r="F203" s="85"/>
      <c r="G203" s="85"/>
      <c r="H203" s="86" t="s">
        <v>111</v>
      </c>
      <c r="I203" s="87">
        <v>125</v>
      </c>
      <c r="J203" s="9"/>
      <c r="K203" s="87">
        <f>K199/I203</f>
        <v>0</v>
      </c>
      <c r="L203" s="86"/>
      <c r="M203" s="98">
        <f>Basisgegevens!$M$38</f>
        <v>67.5</v>
      </c>
      <c r="N203" s="86"/>
      <c r="O203" s="81">
        <f>K203*M203</f>
        <v>0</v>
      </c>
      <c r="P203" s="99"/>
      <c r="R203" s="66" t="s">
        <v>221</v>
      </c>
    </row>
    <row r="204" spans="2:21" customFormat="1" x14ac:dyDescent="0.25">
      <c r="B204" s="84"/>
      <c r="C204" s="85"/>
      <c r="D204" s="11" t="str">
        <f>Basisgegevens!$D$43</f>
        <v>trilplaat 1000 kg, excl. bediening</v>
      </c>
      <c r="E204" s="85"/>
      <c r="F204" s="85"/>
      <c r="G204" s="85"/>
      <c r="H204" s="86" t="s">
        <v>170</v>
      </c>
      <c r="I204" s="87">
        <v>1000</v>
      </c>
      <c r="J204" s="9"/>
      <c r="K204" s="87">
        <f>K199/I204</f>
        <v>0</v>
      </c>
      <c r="L204" s="86"/>
      <c r="M204" s="98">
        <f>Basisgegevens!$M$43</f>
        <v>20</v>
      </c>
      <c r="N204" s="86"/>
      <c r="O204" s="81">
        <f>K204*M204</f>
        <v>0</v>
      </c>
      <c r="P204" s="99"/>
      <c r="R204" s="1"/>
    </row>
    <row r="205" spans="2:21" customFormat="1" x14ac:dyDescent="0.25">
      <c r="B205" s="84"/>
      <c r="C205" s="85"/>
      <c r="D205" s="11" t="str">
        <f>Basisgegevens!$D$86</f>
        <v>brekerzand</v>
      </c>
      <c r="E205" s="85"/>
      <c r="F205" s="85"/>
      <c r="G205" s="85"/>
      <c r="H205" s="86" t="s">
        <v>168</v>
      </c>
      <c r="I205" s="87">
        <v>1</v>
      </c>
      <c r="J205" s="9"/>
      <c r="K205" s="87">
        <f>K199/100*1/1.7</f>
        <v>0</v>
      </c>
      <c r="L205" s="86"/>
      <c r="M205" s="98">
        <f>Basisgegevens!$M$86</f>
        <v>8.5</v>
      </c>
      <c r="N205" s="86"/>
      <c r="O205" s="81">
        <f>K205*M205</f>
        <v>0</v>
      </c>
      <c r="P205" s="99"/>
      <c r="R205" s="1"/>
    </row>
    <row r="206" spans="2:21" customFormat="1" x14ac:dyDescent="0.25">
      <c r="B206" s="84"/>
      <c r="C206" s="85"/>
      <c r="D206" s="10" t="s">
        <v>209</v>
      </c>
      <c r="E206" s="85"/>
      <c r="F206" s="85"/>
      <c r="G206" s="85"/>
      <c r="H206" s="86"/>
      <c r="I206" s="87"/>
      <c r="J206" s="9"/>
      <c r="K206" s="87"/>
      <c r="L206" s="86"/>
      <c r="M206" s="98"/>
      <c r="N206" s="86"/>
      <c r="O206" s="81"/>
      <c r="P206" s="99"/>
      <c r="R206" s="58" t="s">
        <v>364</v>
      </c>
      <c r="S206" s="58" t="str">
        <f>D212</f>
        <v>bss KF heide paars, dik 80</v>
      </c>
      <c r="T206" s="1"/>
    </row>
    <row r="207" spans="2:21" customFormat="1" x14ac:dyDescent="0.25">
      <c r="B207" s="84"/>
      <c r="C207" s="85"/>
      <c r="D207" s="11" t="str">
        <f>Basisgegevens!$D$38</f>
        <v>wiellaadschop 1 m³</v>
      </c>
      <c r="E207" s="85"/>
      <c r="F207" s="85"/>
      <c r="G207" s="85"/>
      <c r="H207" s="86" t="s">
        <v>111</v>
      </c>
      <c r="I207" s="87">
        <v>125</v>
      </c>
      <c r="J207" s="9"/>
      <c r="K207" s="87">
        <f>K199/I207/5</f>
        <v>0</v>
      </c>
      <c r="L207" s="86"/>
      <c r="M207" s="98">
        <f>Basisgegevens!$M$38</f>
        <v>67.5</v>
      </c>
      <c r="N207" s="86"/>
      <c r="O207" s="81">
        <f>K207*M207</f>
        <v>0</v>
      </c>
      <c r="P207" s="99"/>
      <c r="R207" s="109">
        <v>3</v>
      </c>
      <c r="S207" s="96">
        <f>K199/5*4.2*45/1000*1</f>
        <v>0</v>
      </c>
      <c r="T207" s="118">
        <v>1</v>
      </c>
      <c r="U207" s="1"/>
    </row>
    <row r="208" spans="2:21" customFormat="1" x14ac:dyDescent="0.25">
      <c r="B208" s="84"/>
      <c r="C208" s="85"/>
      <c r="D208" s="45" t="str">
        <f>Basisgegevens!$D$13</f>
        <v>grondwerker</v>
      </c>
      <c r="E208" s="85"/>
      <c r="F208" s="85"/>
      <c r="G208" s="85"/>
      <c r="H208" s="100" t="s">
        <v>111</v>
      </c>
      <c r="I208" s="87">
        <v>125</v>
      </c>
      <c r="J208" s="9"/>
      <c r="K208" s="87">
        <f>K199/I208/5</f>
        <v>0</v>
      </c>
      <c r="L208" s="86"/>
      <c r="M208" s="98">
        <f>Basisgegevens!$M$13</f>
        <v>35</v>
      </c>
      <c r="N208" s="86"/>
      <c r="O208" s="81">
        <f>M208*K208</f>
        <v>0</v>
      </c>
      <c r="P208" s="99"/>
      <c r="R208" s="17">
        <v>2</v>
      </c>
      <c r="S208" s="96">
        <f>K199/5*4.2*45/1000*0.15</f>
        <v>0</v>
      </c>
      <c r="T208" s="118">
        <v>0.15</v>
      </c>
      <c r="U208" s="124"/>
    </row>
    <row r="209" spans="2:21" customFormat="1" x14ac:dyDescent="0.25">
      <c r="B209" s="84"/>
      <c r="C209" s="85"/>
      <c r="D209" s="86" t="s">
        <v>210</v>
      </c>
      <c r="E209" s="85"/>
      <c r="F209" s="85"/>
      <c r="G209" s="85"/>
      <c r="H209" s="100"/>
      <c r="I209" s="87"/>
      <c r="J209" s="9"/>
      <c r="K209" s="87"/>
      <c r="L209" s="86"/>
      <c r="M209" s="98"/>
      <c r="N209" s="86"/>
      <c r="O209" s="81"/>
      <c r="P209" s="99"/>
      <c r="R209" t="s">
        <v>365</v>
      </c>
      <c r="S209" s="126">
        <f>VLOOKUP(Input!$R$14,R207:S208,2,0)</f>
        <v>0</v>
      </c>
      <c r="T209" s="1"/>
      <c r="U209" s="125"/>
    </row>
    <row r="210" spans="2:21" customFormat="1" x14ac:dyDescent="0.25">
      <c r="B210" s="84"/>
      <c r="C210" s="85"/>
      <c r="D210" s="45" t="str">
        <f>Basisgegevens!$D$85</f>
        <v>straatzand</v>
      </c>
      <c r="E210" s="85"/>
      <c r="F210" s="85"/>
      <c r="G210" s="85"/>
      <c r="H210" s="100" t="s">
        <v>168</v>
      </c>
      <c r="I210" s="87">
        <v>1</v>
      </c>
      <c r="J210" s="9"/>
      <c r="K210" s="87">
        <f>K199*0.05*1.7</f>
        <v>0</v>
      </c>
      <c r="L210" s="86"/>
      <c r="M210" s="98">
        <f>Basisgegevens!$M$85</f>
        <v>7.5</v>
      </c>
      <c r="N210" s="86"/>
      <c r="O210" s="81">
        <f>M210*K210</f>
        <v>0</v>
      </c>
      <c r="P210" s="99"/>
      <c r="R210" s="58" t="s">
        <v>364</v>
      </c>
      <c r="S210" s="58" t="str">
        <f>D213</f>
        <v>bisschopmuts heide paars, dik 80</v>
      </c>
      <c r="T210" s="1"/>
      <c r="U210" s="1"/>
    </row>
    <row r="211" spans="2:21" customFormat="1" x14ac:dyDescent="0.25">
      <c r="B211" s="84"/>
      <c r="C211" s="85"/>
      <c r="D211" s="86" t="s">
        <v>204</v>
      </c>
      <c r="E211" s="85"/>
      <c r="F211" s="85"/>
      <c r="G211" s="85"/>
      <c r="H211" s="100"/>
      <c r="I211" s="90"/>
      <c r="J211" s="9"/>
      <c r="K211" s="87"/>
      <c r="L211" s="86"/>
      <c r="M211" s="98"/>
      <c r="N211" s="86"/>
      <c r="O211" s="81"/>
      <c r="P211" s="99"/>
      <c r="R211" s="109">
        <v>3</v>
      </c>
      <c r="S211" s="96">
        <f>K199/5*2/1000*1</f>
        <v>0</v>
      </c>
      <c r="T211" s="118">
        <v>1</v>
      </c>
      <c r="U211" s="1"/>
    </row>
    <row r="212" spans="2:21" x14ac:dyDescent="0.25">
      <c r="B212" s="84"/>
      <c r="C212" s="85"/>
      <c r="D212" s="45" t="str">
        <f>Basisgegevens!$D$99</f>
        <v>bss KF heide paars, dik 80</v>
      </c>
      <c r="E212" s="85"/>
      <c r="F212" s="85"/>
      <c r="G212" s="85"/>
      <c r="H212" s="100" t="s">
        <v>208</v>
      </c>
      <c r="I212" s="90">
        <v>1</v>
      </c>
      <c r="J212" s="9"/>
      <c r="K212" s="87">
        <f>S209</f>
        <v>0</v>
      </c>
      <c r="L212" s="86"/>
      <c r="M212" s="88">
        <f>Basisgegevens!$M$99</f>
        <v>250</v>
      </c>
      <c r="N212" s="86"/>
      <c r="O212" s="81">
        <f>K212*M212</f>
        <v>0</v>
      </c>
      <c r="P212" s="99"/>
      <c r="Q212"/>
      <c r="R212" s="17">
        <v>2</v>
      </c>
      <c r="S212" s="96">
        <f>K199/5*2/1000*0.15</f>
        <v>0</v>
      </c>
      <c r="T212" s="118">
        <v>0.15</v>
      </c>
      <c r="U212" s="124"/>
    </row>
    <row r="213" spans="2:21" customFormat="1" x14ac:dyDescent="0.25">
      <c r="B213" s="84"/>
      <c r="C213" s="85"/>
      <c r="D213" s="45" t="str">
        <f>Basisgegevens!$D$100</f>
        <v>bisschopmuts heide paars, dik 80</v>
      </c>
      <c r="E213" s="85"/>
      <c r="F213" s="85"/>
      <c r="G213" s="85"/>
      <c r="H213" s="100" t="s">
        <v>208</v>
      </c>
      <c r="I213" s="90">
        <v>1</v>
      </c>
      <c r="J213" s="9"/>
      <c r="K213" s="87">
        <f>S213</f>
        <v>0</v>
      </c>
      <c r="L213" s="86"/>
      <c r="M213" s="88">
        <f>Basisgegevens!$M$100</f>
        <v>625</v>
      </c>
      <c r="N213" s="86"/>
      <c r="O213" s="81">
        <f>K213*M213</f>
        <v>0</v>
      </c>
      <c r="P213" s="99"/>
      <c r="R213" t="s">
        <v>365</v>
      </c>
      <c r="S213" s="126">
        <f>VLOOKUP(Input!$R$14,R211:S212,2,0)</f>
        <v>0</v>
      </c>
      <c r="T213" s="1"/>
      <c r="U213" s="125"/>
    </row>
    <row r="214" spans="2:21" x14ac:dyDescent="0.25">
      <c r="B214" s="84"/>
      <c r="C214" s="85"/>
      <c r="D214" s="86" t="s">
        <v>212</v>
      </c>
      <c r="E214" s="85"/>
      <c r="F214" s="85"/>
      <c r="G214" s="85"/>
      <c r="H214" s="86" t="s">
        <v>59</v>
      </c>
      <c r="I214" s="89"/>
      <c r="J214" s="9"/>
      <c r="K214" s="87"/>
      <c r="L214" s="86"/>
      <c r="M214" s="86"/>
      <c r="N214" s="86"/>
      <c r="O214" s="86"/>
      <c r="P214" s="99"/>
      <c r="Q214"/>
      <c r="R214" s="58" t="s">
        <v>364</v>
      </c>
      <c r="S214" s="58" t="str">
        <f>D220</f>
        <v>schraalbeton</v>
      </c>
    </row>
    <row r="215" spans="2:21" x14ac:dyDescent="0.25">
      <c r="B215" s="84"/>
      <c r="C215" s="85"/>
      <c r="D215" s="11" t="str">
        <f>Basisgegevens!$D$14</f>
        <v>stratenmaker</v>
      </c>
      <c r="E215" s="85"/>
      <c r="F215" s="85"/>
      <c r="G215" s="85"/>
      <c r="H215" s="86" t="s">
        <v>111</v>
      </c>
      <c r="I215" s="87">
        <v>8</v>
      </c>
      <c r="J215" s="9"/>
      <c r="K215" s="87">
        <f>$K$222/I215</f>
        <v>0</v>
      </c>
      <c r="L215" s="86"/>
      <c r="M215" s="98">
        <f>Basisgegevens!$M$14</f>
        <v>38</v>
      </c>
      <c r="N215" s="86"/>
      <c r="O215" s="81">
        <f>M215*K215</f>
        <v>0</v>
      </c>
      <c r="P215" s="99"/>
      <c r="Q215"/>
      <c r="R215" s="109">
        <v>3</v>
      </c>
      <c r="S215" s="96">
        <f>K199/5*2/55*1</f>
        <v>0</v>
      </c>
      <c r="T215" s="118">
        <v>1</v>
      </c>
      <c r="U215"/>
    </row>
    <row r="216" spans="2:21" customFormat="1" x14ac:dyDescent="0.25">
      <c r="B216" s="84"/>
      <c r="C216" s="85"/>
      <c r="D216" s="11" t="str">
        <f>Basisgegevens!$D$14</f>
        <v>stratenmaker</v>
      </c>
      <c r="E216" s="85"/>
      <c r="F216" s="85"/>
      <c r="G216" s="85"/>
      <c r="H216" s="86" t="s">
        <v>111</v>
      </c>
      <c r="I216" s="87">
        <v>8</v>
      </c>
      <c r="J216" s="9"/>
      <c r="K216" s="87">
        <f>$K$222/I216</f>
        <v>0</v>
      </c>
      <c r="L216" s="86"/>
      <c r="M216" s="98">
        <f>Basisgegevens!$M$14</f>
        <v>38</v>
      </c>
      <c r="N216" s="86"/>
      <c r="O216" s="81">
        <f>M216*K216</f>
        <v>0</v>
      </c>
      <c r="P216" s="99"/>
      <c r="R216" s="17">
        <v>2</v>
      </c>
      <c r="S216" s="96">
        <f>K199/5*2/55*0.15</f>
        <v>0</v>
      </c>
      <c r="T216" s="118">
        <v>0.15</v>
      </c>
    </row>
    <row r="217" spans="2:21" customFormat="1" x14ac:dyDescent="0.25">
      <c r="B217" s="84"/>
      <c r="C217" s="85"/>
      <c r="D217" s="45" t="str">
        <f>Basisgegevens!$D$13</f>
        <v>grondwerker</v>
      </c>
      <c r="E217" s="85"/>
      <c r="F217" s="85"/>
      <c r="G217" s="85"/>
      <c r="H217" s="100" t="s">
        <v>111</v>
      </c>
      <c r="I217" s="87">
        <v>8</v>
      </c>
      <c r="J217" s="9"/>
      <c r="K217" s="87">
        <f>$K$222/I217</f>
        <v>0</v>
      </c>
      <c r="L217" s="86"/>
      <c r="M217" s="98">
        <f>Basisgegevens!$M$13</f>
        <v>35</v>
      </c>
      <c r="N217" s="86"/>
      <c r="O217" s="81">
        <f>M217*K217</f>
        <v>0</v>
      </c>
      <c r="P217" s="99"/>
      <c r="R217" t="s">
        <v>365</v>
      </c>
      <c r="S217" s="126">
        <f>VLOOKUP(Input!$R$14,R215:S216,2,0)</f>
        <v>0</v>
      </c>
      <c r="T217" s="1"/>
    </row>
    <row r="218" spans="2:21" customFormat="1" x14ac:dyDescent="0.25">
      <c r="B218" s="84"/>
      <c r="C218" s="85"/>
      <c r="D218" s="11" t="str">
        <f>Basisgegevens!$D$38</f>
        <v>wiellaadschop 1 m³</v>
      </c>
      <c r="E218" s="85"/>
      <c r="F218" s="85"/>
      <c r="G218" s="85"/>
      <c r="H218" s="86" t="s">
        <v>111</v>
      </c>
      <c r="I218" s="87">
        <v>100</v>
      </c>
      <c r="J218" s="9"/>
      <c r="K218" s="87">
        <f>$K$222/I218</f>
        <v>0</v>
      </c>
      <c r="L218" s="86"/>
      <c r="M218" s="98">
        <f>Basisgegevens!$M$38</f>
        <v>67.5</v>
      </c>
      <c r="N218" s="86"/>
      <c r="O218" s="81">
        <f>K218*M218</f>
        <v>0</v>
      </c>
      <c r="P218" s="99"/>
      <c r="R218" s="58" t="s">
        <v>364</v>
      </c>
      <c r="S218" s="58" t="str">
        <f>D222</f>
        <v>trottoirband 130/150x250</v>
      </c>
      <c r="T218" s="1"/>
    </row>
    <row r="219" spans="2:21" customFormat="1" x14ac:dyDescent="0.25">
      <c r="B219" s="110"/>
      <c r="C219" s="111"/>
      <c r="D219" s="10" t="s">
        <v>215</v>
      </c>
      <c r="E219" s="85"/>
      <c r="F219" s="85"/>
      <c r="G219" s="85"/>
      <c r="H219" s="86"/>
      <c r="I219" s="87"/>
      <c r="J219" s="9"/>
      <c r="K219" s="87"/>
      <c r="L219" s="86"/>
      <c r="M219" s="98"/>
      <c r="N219" s="86"/>
      <c r="O219" s="81"/>
      <c r="P219" s="112"/>
      <c r="R219" s="109">
        <v>3</v>
      </c>
      <c r="S219" s="96">
        <f>K199/5*2*1</f>
        <v>0</v>
      </c>
      <c r="T219" s="118">
        <v>1</v>
      </c>
      <c r="U219" s="1"/>
    </row>
    <row r="220" spans="2:21" customFormat="1" x14ac:dyDescent="0.25">
      <c r="B220" s="110"/>
      <c r="C220" s="111"/>
      <c r="D220" s="11" t="str">
        <f>Basisgegevens!$D$90</f>
        <v>schraalbeton</v>
      </c>
      <c r="E220" s="85"/>
      <c r="F220" s="85"/>
      <c r="G220" s="85"/>
      <c r="H220" s="86" t="s">
        <v>168</v>
      </c>
      <c r="I220" s="87">
        <v>1</v>
      </c>
      <c r="J220" s="9"/>
      <c r="K220" s="87">
        <f>S217</f>
        <v>0</v>
      </c>
      <c r="L220" s="86"/>
      <c r="M220" s="98">
        <f>Basisgegevens!$M$90</f>
        <v>38</v>
      </c>
      <c r="N220" s="86"/>
      <c r="O220" s="81">
        <f>K220*M220</f>
        <v>0</v>
      </c>
      <c r="P220" s="112"/>
      <c r="R220" s="17">
        <v>2</v>
      </c>
      <c r="S220" s="96">
        <f>K199/5*2*0.15</f>
        <v>0</v>
      </c>
      <c r="T220" s="118">
        <v>0.15</v>
      </c>
      <c r="U220" s="1"/>
    </row>
    <row r="221" spans="2:21" customFormat="1" x14ac:dyDescent="0.25">
      <c r="B221" s="110"/>
      <c r="C221" s="111"/>
      <c r="D221" s="86" t="s">
        <v>214</v>
      </c>
      <c r="E221" s="85"/>
      <c r="F221" s="85"/>
      <c r="G221" s="85"/>
      <c r="H221" s="100"/>
      <c r="I221" s="87"/>
      <c r="J221" s="9"/>
      <c r="K221" s="87"/>
      <c r="L221" s="86"/>
      <c r="M221" s="98"/>
      <c r="N221" s="86"/>
      <c r="O221" s="81"/>
      <c r="P221" s="112"/>
      <c r="R221" t="s">
        <v>365</v>
      </c>
      <c r="S221" s="126">
        <f>VLOOKUP(Input!$R$14,R219:S220,2,0)</f>
        <v>0</v>
      </c>
      <c r="T221" s="1"/>
      <c r="U221" s="1"/>
    </row>
    <row r="222" spans="2:21" customFormat="1" x14ac:dyDescent="0.25">
      <c r="B222" s="110"/>
      <c r="C222" s="111"/>
      <c r="D222" s="45" t="str">
        <f>Basisgegevens!$D$114</f>
        <v>trottoirband 130/150x250</v>
      </c>
      <c r="E222" s="85"/>
      <c r="F222" s="85"/>
      <c r="G222" s="85"/>
      <c r="H222" s="100" t="s">
        <v>29</v>
      </c>
      <c r="I222" s="87">
        <v>1</v>
      </c>
      <c r="J222" s="9"/>
      <c r="K222" s="87">
        <f>S221</f>
        <v>0</v>
      </c>
      <c r="L222" s="86"/>
      <c r="M222" s="98">
        <f>Basisgegevens!$M$114</f>
        <v>10</v>
      </c>
      <c r="N222" s="86"/>
      <c r="O222" s="81">
        <f>M222*K222</f>
        <v>0</v>
      </c>
      <c r="P222" s="112"/>
      <c r="R222" s="58" t="s">
        <v>364</v>
      </c>
      <c r="S222" s="58" t="str">
        <f>D224</f>
        <v>bss KF heide paars, dik 80</v>
      </c>
      <c r="T222" s="1"/>
      <c r="U222" s="1"/>
    </row>
    <row r="223" spans="2:21" customFormat="1" x14ac:dyDescent="0.25">
      <c r="B223" s="110"/>
      <c r="C223" s="111"/>
      <c r="D223" s="86" t="s">
        <v>204</v>
      </c>
      <c r="E223" s="85"/>
      <c r="F223" s="85"/>
      <c r="G223" s="85"/>
      <c r="H223" s="100"/>
      <c r="I223" s="90"/>
      <c r="J223" s="9"/>
      <c r="K223" s="87"/>
      <c r="L223" s="86"/>
      <c r="M223" s="98"/>
      <c r="N223" s="86"/>
      <c r="O223" s="81"/>
      <c r="P223" s="112"/>
      <c r="R223" s="109">
        <v>3</v>
      </c>
      <c r="S223" s="96">
        <f>K199/5*2/1000*2*5*1</f>
        <v>0</v>
      </c>
      <c r="T223" s="118">
        <v>1</v>
      </c>
      <c r="U223" s="1"/>
    </row>
    <row r="224" spans="2:21" customFormat="1" x14ac:dyDescent="0.25">
      <c r="B224" s="110"/>
      <c r="C224" s="111"/>
      <c r="D224" s="45" t="str">
        <f>Basisgegevens!$D$99</f>
        <v>bss KF heide paars, dik 80</v>
      </c>
      <c r="E224" s="85"/>
      <c r="F224" s="85"/>
      <c r="G224" s="85"/>
      <c r="H224" s="100" t="s">
        <v>208</v>
      </c>
      <c r="I224" s="90">
        <v>1</v>
      </c>
      <c r="J224" s="9"/>
      <c r="K224" s="87">
        <f>S225</f>
        <v>0</v>
      </c>
      <c r="L224" s="86"/>
      <c r="M224" s="88">
        <f>Basisgegevens!$M$99</f>
        <v>250</v>
      </c>
      <c r="N224" s="86"/>
      <c r="O224" s="81">
        <f>K224*M224</f>
        <v>0</v>
      </c>
      <c r="P224" s="112"/>
      <c r="R224" s="17">
        <v>2</v>
      </c>
      <c r="S224" s="96">
        <f>K199/5*2/1000*2*5*0.15</f>
        <v>0</v>
      </c>
      <c r="T224" s="118">
        <v>0.15</v>
      </c>
    </row>
    <row r="225" spans="2:20" x14ac:dyDescent="0.25">
      <c r="B225" s="73"/>
      <c r="C225" s="83"/>
      <c r="D225" s="83" t="s">
        <v>22</v>
      </c>
      <c r="E225" s="83"/>
      <c r="F225" s="83"/>
      <c r="G225" s="83"/>
      <c r="H225" s="83" t="str">
        <f>H199</f>
        <v>m2</v>
      </c>
      <c r="I225" s="80"/>
      <c r="J225" s="83"/>
      <c r="K225" s="80">
        <f>K199</f>
        <v>0</v>
      </c>
      <c r="L225" s="83"/>
      <c r="M225" s="103" t="e">
        <f>O225/K199</f>
        <v>#DIV/0!</v>
      </c>
      <c r="N225" s="83"/>
      <c r="O225" s="103">
        <f>SUM(O200:O224)</f>
        <v>0</v>
      </c>
      <c r="P225" s="104"/>
      <c r="Q225"/>
      <c r="R225" t="s">
        <v>365</v>
      </c>
      <c r="S225" s="126">
        <f>VLOOKUP(Input!$R$14,R223:S224,2,0)</f>
        <v>0</v>
      </c>
    </row>
    <row r="226" spans="2:20" ht="5.0999999999999996" customHeight="1" thickBot="1" x14ac:dyDescent="0.3">
      <c r="B226" s="12"/>
      <c r="C226" s="13"/>
      <c r="D226" s="13"/>
      <c r="E226" s="13"/>
      <c r="F226" s="13"/>
      <c r="G226" s="13"/>
      <c r="H226" s="13"/>
      <c r="I226" s="15"/>
      <c r="J226" s="13"/>
      <c r="K226" s="15"/>
      <c r="L226" s="13"/>
      <c r="M226" s="13"/>
      <c r="N226" s="13"/>
      <c r="O226" s="13"/>
      <c r="P226" s="14"/>
      <c r="Q226"/>
    </row>
    <row r="227" spans="2:20" ht="30" customHeight="1" thickBot="1" x14ac:dyDescent="0.3"/>
    <row r="228" spans="2:20" ht="5.0999999999999996" customHeight="1" x14ac:dyDescent="0.25">
      <c r="B228" s="3"/>
      <c r="C228" s="4"/>
      <c r="D228" s="4"/>
      <c r="E228" s="4"/>
      <c r="F228" s="4"/>
      <c r="G228" s="4"/>
      <c r="H228" s="55"/>
      <c r="I228" s="4"/>
      <c r="J228" s="4"/>
      <c r="K228" s="4"/>
      <c r="L228" s="4"/>
      <c r="M228" s="4"/>
      <c r="N228" s="4"/>
      <c r="O228" s="4"/>
      <c r="P228" s="5"/>
      <c r="Q228"/>
      <c r="R228"/>
    </row>
    <row r="229" spans="2:20" x14ac:dyDescent="0.25">
      <c r="B229" s="34"/>
      <c r="C229" s="94"/>
      <c r="D229" s="36"/>
      <c r="E229" s="36"/>
      <c r="F229" s="36"/>
      <c r="G229" s="36"/>
      <c r="H229" s="36"/>
      <c r="I229" s="44"/>
      <c r="J229" s="36"/>
      <c r="K229" s="44"/>
      <c r="L229" s="36"/>
      <c r="M229" s="36"/>
      <c r="N229" s="36"/>
      <c r="O229" s="36"/>
      <c r="P229" s="37"/>
      <c r="Q229"/>
      <c r="R229" s="105" t="s">
        <v>137</v>
      </c>
    </row>
    <row r="230" spans="2:20" x14ac:dyDescent="0.25">
      <c r="B230" s="34"/>
      <c r="C230" s="35" t="s">
        <v>366</v>
      </c>
      <c r="D230" s="36"/>
      <c r="E230" s="36"/>
      <c r="F230" s="36"/>
      <c r="G230" s="36"/>
      <c r="H230"/>
      <c r="I230" s="44"/>
      <c r="J230"/>
      <c r="K230" s="44"/>
      <c r="L230" s="36"/>
      <c r="O230" s="71" t="s">
        <v>62</v>
      </c>
      <c r="P230" s="37"/>
      <c r="Q230"/>
      <c r="R230" s="1" t="s">
        <v>274</v>
      </c>
    </row>
    <row r="231" spans="2:20" ht="15.75" thickBot="1" x14ac:dyDescent="0.3">
      <c r="B231" s="68"/>
      <c r="C231" s="48" t="s">
        <v>56</v>
      </c>
      <c r="D231" s="48" t="s">
        <v>55</v>
      </c>
      <c r="E231" s="50"/>
      <c r="F231" s="48"/>
      <c r="G231" s="48"/>
      <c r="H231" s="48" t="s">
        <v>107</v>
      </c>
      <c r="I231" s="78" t="s">
        <v>108</v>
      </c>
      <c r="J231" s="69"/>
      <c r="K231" s="82" t="s">
        <v>110</v>
      </c>
      <c r="L231" s="48"/>
      <c r="M231" s="48" t="s">
        <v>109</v>
      </c>
      <c r="N231" s="48"/>
      <c r="O231" s="48" t="s">
        <v>19</v>
      </c>
      <c r="P231" s="70"/>
      <c r="Q231"/>
      <c r="R231" t="s">
        <v>181</v>
      </c>
    </row>
    <row r="232" spans="2:20" x14ac:dyDescent="0.25">
      <c r="B232" s="84"/>
      <c r="C232" s="85"/>
      <c r="D232" s="86" t="s">
        <v>223</v>
      </c>
      <c r="E232" s="85"/>
      <c r="F232" s="85"/>
      <c r="G232" s="85"/>
      <c r="H232" s="86" t="s">
        <v>59</v>
      </c>
      <c r="I232" s="89"/>
      <c r="J232" s="9"/>
      <c r="K232" s="87">
        <f>Input!$I$47</f>
        <v>0</v>
      </c>
      <c r="L232" s="86"/>
      <c r="M232" s="86"/>
      <c r="N232" s="86"/>
      <c r="O232" s="86"/>
      <c r="P232" s="99"/>
      <c r="Q232"/>
      <c r="R232" s="1" t="s">
        <v>213</v>
      </c>
    </row>
    <row r="233" spans="2:20" x14ac:dyDescent="0.25">
      <c r="B233" s="84"/>
      <c r="C233" s="85"/>
      <c r="D233" s="11" t="str">
        <f>Basisgegevens!$D$14</f>
        <v>stratenmaker</v>
      </c>
      <c r="E233" s="85"/>
      <c r="F233" s="85"/>
      <c r="G233" s="85"/>
      <c r="H233" s="86" t="s">
        <v>111</v>
      </c>
      <c r="I233" s="87">
        <v>12.5</v>
      </c>
      <c r="J233" s="9"/>
      <c r="K233" s="87">
        <f>K232/2*1.6/I233</f>
        <v>0</v>
      </c>
      <c r="L233" s="86"/>
      <c r="M233" s="98">
        <f>Basisgegevens!$M$14</f>
        <v>38</v>
      </c>
      <c r="N233" s="86"/>
      <c r="O233" s="81">
        <f>M233*K233</f>
        <v>0</v>
      </c>
      <c r="P233" s="99"/>
      <c r="Q233"/>
      <c r="R233" s="66" t="s">
        <v>217</v>
      </c>
    </row>
    <row r="234" spans="2:20" customFormat="1" x14ac:dyDescent="0.25">
      <c r="B234" s="84"/>
      <c r="C234" s="85"/>
      <c r="D234" s="11" t="str">
        <f>Basisgegevens!$D$14</f>
        <v>stratenmaker</v>
      </c>
      <c r="E234" s="85"/>
      <c r="F234" s="85"/>
      <c r="G234" s="85"/>
      <c r="H234" s="86" t="s">
        <v>111</v>
      </c>
      <c r="I234" s="87">
        <v>12.5</v>
      </c>
      <c r="J234" s="9"/>
      <c r="K234" s="87">
        <f>K232/2*1.6/I234</f>
        <v>0</v>
      </c>
      <c r="L234" s="86"/>
      <c r="M234" s="98">
        <f>Basisgegevens!$M$14</f>
        <v>38</v>
      </c>
      <c r="N234" s="86"/>
      <c r="O234" s="81">
        <f>M234*K234</f>
        <v>0</v>
      </c>
      <c r="P234" s="99"/>
      <c r="R234" t="s">
        <v>367</v>
      </c>
    </row>
    <row r="235" spans="2:20" customFormat="1" x14ac:dyDescent="0.25">
      <c r="B235" s="84"/>
      <c r="C235" s="85"/>
      <c r="D235" s="45" t="str">
        <f>Basisgegevens!$D$13</f>
        <v>grondwerker</v>
      </c>
      <c r="E235" s="85"/>
      <c r="F235" s="85"/>
      <c r="G235" s="85"/>
      <c r="H235" s="100" t="s">
        <v>111</v>
      </c>
      <c r="I235" s="87">
        <v>12.5</v>
      </c>
      <c r="J235" s="9"/>
      <c r="K235" s="87">
        <f>K232/2*1.6/I235</f>
        <v>0</v>
      </c>
      <c r="L235" s="86"/>
      <c r="M235" s="98">
        <f>Basisgegevens!$M$13</f>
        <v>35</v>
      </c>
      <c r="N235" s="86"/>
      <c r="O235" s="81">
        <f>M235*K235</f>
        <v>0</v>
      </c>
      <c r="P235" s="99"/>
      <c r="R235" s="1" t="s">
        <v>368</v>
      </c>
    </row>
    <row r="236" spans="2:20" customFormat="1" x14ac:dyDescent="0.25">
      <c r="B236" s="84"/>
      <c r="C236" s="85"/>
      <c r="D236" s="11" t="str">
        <f>Basisgegevens!$D$38</f>
        <v>wiellaadschop 1 m³</v>
      </c>
      <c r="E236" s="85"/>
      <c r="F236" s="85"/>
      <c r="G236" s="85"/>
      <c r="H236" s="86" t="s">
        <v>111</v>
      </c>
      <c r="I236" s="87">
        <v>125</v>
      </c>
      <c r="J236" s="9"/>
      <c r="K236" s="87">
        <f>K232/2*1.6/I236</f>
        <v>0</v>
      </c>
      <c r="L236" s="86"/>
      <c r="M236" s="98">
        <f>Basisgegevens!$M$38</f>
        <v>67.5</v>
      </c>
      <c r="N236" s="86"/>
      <c r="O236" s="81">
        <f>K236*M236</f>
        <v>0</v>
      </c>
      <c r="P236" s="99"/>
      <c r="R236" s="1" t="s">
        <v>220</v>
      </c>
    </row>
    <row r="237" spans="2:20" customFormat="1" x14ac:dyDescent="0.25">
      <c r="B237" s="84"/>
      <c r="C237" s="85"/>
      <c r="D237" s="11" t="str">
        <f>Basisgegevens!$D$43</f>
        <v>trilplaat 1000 kg, excl. bediening</v>
      </c>
      <c r="E237" s="85"/>
      <c r="F237" s="85"/>
      <c r="G237" s="85"/>
      <c r="H237" s="86" t="s">
        <v>170</v>
      </c>
      <c r="I237" s="87">
        <v>1000</v>
      </c>
      <c r="J237" s="9"/>
      <c r="K237" s="87">
        <f>K232/I237</f>
        <v>0</v>
      </c>
      <c r="L237" s="86"/>
      <c r="M237" s="98">
        <f>Basisgegevens!$M$43</f>
        <v>20</v>
      </c>
      <c r="N237" s="86"/>
      <c r="O237" s="81">
        <f>K237*M237</f>
        <v>0</v>
      </c>
      <c r="P237" s="99"/>
      <c r="R237" s="66" t="s">
        <v>221</v>
      </c>
    </row>
    <row r="238" spans="2:20" customFormat="1" x14ac:dyDescent="0.25">
      <c r="B238" s="84"/>
      <c r="C238" s="85"/>
      <c r="D238" s="11" t="str">
        <f>Basisgegevens!$D$86</f>
        <v>brekerzand</v>
      </c>
      <c r="E238" s="85"/>
      <c r="F238" s="85"/>
      <c r="G238" s="85"/>
      <c r="H238" s="86" t="s">
        <v>168</v>
      </c>
      <c r="I238" s="87">
        <v>1</v>
      </c>
      <c r="J238" s="9"/>
      <c r="K238" s="87">
        <f>K232/100*1/1.7</f>
        <v>0</v>
      </c>
      <c r="L238" s="86"/>
      <c r="M238" s="98">
        <f>Basisgegevens!$M$86</f>
        <v>8.5</v>
      </c>
      <c r="N238" s="86"/>
      <c r="O238" s="81">
        <f>K238*M238</f>
        <v>0</v>
      </c>
      <c r="P238" s="99"/>
      <c r="R238" s="58" t="s">
        <v>364</v>
      </c>
      <c r="S238" s="58" t="str">
        <f>D245</f>
        <v>sbs KF rood, dik 80</v>
      </c>
      <c r="T238" s="1"/>
    </row>
    <row r="239" spans="2:20" customFormat="1" x14ac:dyDescent="0.25">
      <c r="B239" s="84"/>
      <c r="C239" s="85"/>
      <c r="D239" s="10" t="s">
        <v>209</v>
      </c>
      <c r="E239" s="85"/>
      <c r="F239" s="85"/>
      <c r="G239" s="85"/>
      <c r="H239" s="86"/>
      <c r="I239" s="87"/>
      <c r="J239" s="9"/>
      <c r="K239" s="87"/>
      <c r="L239" s="86"/>
      <c r="M239" s="98"/>
      <c r="N239" s="86"/>
      <c r="O239" s="81"/>
      <c r="P239" s="99"/>
      <c r="R239" s="109">
        <v>3</v>
      </c>
      <c r="S239" s="96">
        <f>K232/2*1.6*45/1000*1</f>
        <v>0</v>
      </c>
      <c r="T239" s="118">
        <v>1</v>
      </c>
    </row>
    <row r="240" spans="2:20" customFormat="1" x14ac:dyDescent="0.25">
      <c r="B240" s="84"/>
      <c r="C240" s="85"/>
      <c r="D240" s="11" t="str">
        <f>Basisgegevens!$D$38</f>
        <v>wiellaadschop 1 m³</v>
      </c>
      <c r="E240" s="85"/>
      <c r="F240" s="85"/>
      <c r="G240" s="85"/>
      <c r="H240" s="86" t="s">
        <v>111</v>
      </c>
      <c r="I240" s="87">
        <v>125</v>
      </c>
      <c r="J240" s="9"/>
      <c r="K240" s="87">
        <f>K232/2*1.6/I240</f>
        <v>0</v>
      </c>
      <c r="L240" s="86"/>
      <c r="M240" s="98">
        <f>Basisgegevens!$M$38</f>
        <v>67.5</v>
      </c>
      <c r="N240" s="86"/>
      <c r="O240" s="81">
        <f>K240*M240</f>
        <v>0</v>
      </c>
      <c r="P240" s="99"/>
      <c r="R240" s="17">
        <v>2</v>
      </c>
      <c r="S240" s="96">
        <f>K232/2*1.6*45/1000*0.15</f>
        <v>0</v>
      </c>
      <c r="T240" s="118">
        <v>0.15</v>
      </c>
    </row>
    <row r="241" spans="2:20" customFormat="1" x14ac:dyDescent="0.25">
      <c r="B241" s="84"/>
      <c r="C241" s="85"/>
      <c r="D241" s="45" t="str">
        <f>Basisgegevens!$D$13</f>
        <v>grondwerker</v>
      </c>
      <c r="E241" s="85"/>
      <c r="F241" s="85"/>
      <c r="G241" s="85"/>
      <c r="H241" s="100" t="s">
        <v>111</v>
      </c>
      <c r="I241" s="87">
        <v>125</v>
      </c>
      <c r="J241" s="9"/>
      <c r="K241" s="87">
        <f>K232/2*1.6/I241</f>
        <v>0</v>
      </c>
      <c r="L241" s="86"/>
      <c r="M241" s="98">
        <f>Basisgegevens!$M$13</f>
        <v>35</v>
      </c>
      <c r="N241" s="86"/>
      <c r="O241" s="81">
        <f>M241*K241</f>
        <v>0</v>
      </c>
      <c r="P241" s="99"/>
      <c r="R241" t="s">
        <v>365</v>
      </c>
      <c r="S241" s="126">
        <f>VLOOKUP(Input!$R$14,R239:S240,2,0)</f>
        <v>0</v>
      </c>
      <c r="T241" s="1"/>
    </row>
    <row r="242" spans="2:20" customFormat="1" x14ac:dyDescent="0.25">
      <c r="B242" s="84"/>
      <c r="C242" s="85"/>
      <c r="D242" s="86" t="s">
        <v>210</v>
      </c>
      <c r="E242" s="85"/>
      <c r="F242" s="85"/>
      <c r="G242" s="85"/>
      <c r="H242" s="100"/>
      <c r="I242" s="87"/>
      <c r="J242" s="9"/>
      <c r="K242" s="87"/>
      <c r="L242" s="86"/>
      <c r="M242" s="98"/>
      <c r="N242" s="86"/>
      <c r="O242" s="81"/>
      <c r="P242" s="99"/>
      <c r="R242" s="58" t="s">
        <v>364</v>
      </c>
      <c r="S242" s="58" t="str">
        <f>D252</f>
        <v>schraalbeton</v>
      </c>
      <c r="T242" s="1"/>
    </row>
    <row r="243" spans="2:20" customFormat="1" x14ac:dyDescent="0.25">
      <c r="B243" s="84"/>
      <c r="C243" s="85"/>
      <c r="D243" s="45" t="str">
        <f>Basisgegevens!$D$86</f>
        <v>brekerzand</v>
      </c>
      <c r="E243" s="85"/>
      <c r="F243" s="85"/>
      <c r="G243" s="85"/>
      <c r="H243" s="100" t="s">
        <v>168</v>
      </c>
      <c r="I243" s="87">
        <v>1</v>
      </c>
      <c r="J243" s="9"/>
      <c r="K243" s="87">
        <f>(K232*0.05*1.7/(1.6/2))</f>
        <v>0</v>
      </c>
      <c r="L243" s="86"/>
      <c r="M243" s="98">
        <f>Basisgegevens!$M$86</f>
        <v>8.5</v>
      </c>
      <c r="N243" s="86"/>
      <c r="O243" s="81">
        <f>M243*K243</f>
        <v>0</v>
      </c>
      <c r="P243" s="99"/>
      <c r="R243" s="109">
        <v>3</v>
      </c>
      <c r="S243" s="96">
        <f>K232/2/55*1</f>
        <v>0</v>
      </c>
      <c r="T243" s="118">
        <v>1</v>
      </c>
    </row>
    <row r="244" spans="2:20" customFormat="1" x14ac:dyDescent="0.25">
      <c r="B244" s="84"/>
      <c r="C244" s="85"/>
      <c r="D244" s="86" t="s">
        <v>204</v>
      </c>
      <c r="E244" s="85"/>
      <c r="F244" s="85"/>
      <c r="G244" s="85"/>
      <c r="H244" s="100"/>
      <c r="I244" s="90"/>
      <c r="J244" s="9"/>
      <c r="K244" s="87"/>
      <c r="L244" s="86"/>
      <c r="M244" s="98"/>
      <c r="N244" s="86"/>
      <c r="O244" s="81"/>
      <c r="P244" s="99"/>
      <c r="R244" s="17">
        <v>2</v>
      </c>
      <c r="S244" s="96">
        <f>K232/2/55*0.15</f>
        <v>0</v>
      </c>
      <c r="T244" s="118">
        <v>0.15</v>
      </c>
    </row>
    <row r="245" spans="2:20" x14ac:dyDescent="0.25">
      <c r="B245" s="84"/>
      <c r="C245" s="85"/>
      <c r="D245" s="45" t="str">
        <f>Basisgegevens!$D$106</f>
        <v>sbs KF rood, dik 80</v>
      </c>
      <c r="E245" s="85"/>
      <c r="F245" s="85"/>
      <c r="G245" s="85"/>
      <c r="H245" s="100" t="s">
        <v>208</v>
      </c>
      <c r="I245" s="90">
        <v>1</v>
      </c>
      <c r="J245" s="9"/>
      <c r="K245" s="87">
        <f>S241</f>
        <v>0</v>
      </c>
      <c r="L245" s="86"/>
      <c r="M245" s="88">
        <f>Basisgegevens!$M$106</f>
        <v>535</v>
      </c>
      <c r="N245" s="86"/>
      <c r="O245" s="81">
        <f>K245*M245</f>
        <v>0</v>
      </c>
      <c r="P245" s="99"/>
      <c r="Q245"/>
      <c r="R245" t="s">
        <v>365</v>
      </c>
      <c r="S245" s="126">
        <f>VLOOKUP(Input!$R$14,R243:S244,2,0)</f>
        <v>0</v>
      </c>
    </row>
    <row r="246" spans="2:20" x14ac:dyDescent="0.25">
      <c r="B246" s="84"/>
      <c r="C246" s="85"/>
      <c r="D246" s="86" t="s">
        <v>262</v>
      </c>
      <c r="E246" s="85"/>
      <c r="F246" s="85"/>
      <c r="G246" s="85"/>
      <c r="H246" s="86" t="s">
        <v>29</v>
      </c>
      <c r="I246" s="89"/>
      <c r="J246" s="9"/>
      <c r="K246" s="87"/>
      <c r="L246" s="86"/>
      <c r="M246" s="86"/>
      <c r="N246" s="86"/>
      <c r="O246" s="86"/>
      <c r="P246" s="99"/>
      <c r="Q246"/>
      <c r="R246" s="58" t="s">
        <v>364</v>
      </c>
      <c r="S246" s="58" t="str">
        <f>D254</f>
        <v>trottoirband 130/150x250</v>
      </c>
    </row>
    <row r="247" spans="2:20" x14ac:dyDescent="0.25">
      <c r="B247" s="84"/>
      <c r="C247" s="85"/>
      <c r="D247" s="11" t="str">
        <f>Basisgegevens!$D$14</f>
        <v>stratenmaker</v>
      </c>
      <c r="E247" s="85"/>
      <c r="F247" s="85"/>
      <c r="G247" s="85"/>
      <c r="H247" s="86" t="s">
        <v>111</v>
      </c>
      <c r="I247" s="87">
        <v>8</v>
      </c>
      <c r="J247" s="9"/>
      <c r="K247" s="87">
        <f>$K$254/I247</f>
        <v>0</v>
      </c>
      <c r="L247" s="86"/>
      <c r="M247" s="98">
        <f>Basisgegevens!$M$14</f>
        <v>38</v>
      </c>
      <c r="N247" s="86"/>
      <c r="O247" s="81">
        <f>M247*K247</f>
        <v>0</v>
      </c>
      <c r="P247" s="99"/>
      <c r="Q247"/>
      <c r="R247" s="109">
        <v>3</v>
      </c>
      <c r="S247" s="96">
        <f>K232/2*1</f>
        <v>0</v>
      </c>
      <c r="T247" s="118">
        <v>1</v>
      </c>
    </row>
    <row r="248" spans="2:20" customFormat="1" x14ac:dyDescent="0.25">
      <c r="B248" s="84"/>
      <c r="C248" s="85"/>
      <c r="D248" s="11" t="str">
        <f>Basisgegevens!$D$14</f>
        <v>stratenmaker</v>
      </c>
      <c r="E248" s="85"/>
      <c r="F248" s="85"/>
      <c r="G248" s="85"/>
      <c r="H248" s="86" t="s">
        <v>111</v>
      </c>
      <c r="I248" s="87">
        <v>8</v>
      </c>
      <c r="J248" s="9"/>
      <c r="K248" s="87">
        <f>$K$254/I248</f>
        <v>0</v>
      </c>
      <c r="L248" s="86"/>
      <c r="M248" s="98">
        <f>Basisgegevens!$M$14</f>
        <v>38</v>
      </c>
      <c r="N248" s="86"/>
      <c r="O248" s="81">
        <f>M248*K248</f>
        <v>0</v>
      </c>
      <c r="P248" s="99"/>
      <c r="R248" s="17">
        <v>2</v>
      </c>
      <c r="S248" s="96">
        <f>K232/2*0.15</f>
        <v>0</v>
      </c>
      <c r="T248" s="118">
        <v>0.15</v>
      </c>
    </row>
    <row r="249" spans="2:20" customFormat="1" x14ac:dyDescent="0.25">
      <c r="B249" s="84"/>
      <c r="C249" s="85"/>
      <c r="D249" s="45" t="str">
        <f>Basisgegevens!$D$13</f>
        <v>grondwerker</v>
      </c>
      <c r="E249" s="85"/>
      <c r="F249" s="85"/>
      <c r="G249" s="85"/>
      <c r="H249" s="100" t="s">
        <v>111</v>
      </c>
      <c r="I249" s="87">
        <v>8</v>
      </c>
      <c r="J249" s="9"/>
      <c r="K249" s="87">
        <f>$K$254/I249</f>
        <v>0</v>
      </c>
      <c r="L249" s="86"/>
      <c r="M249" s="98">
        <f>Basisgegevens!$M$13</f>
        <v>35</v>
      </c>
      <c r="N249" s="86"/>
      <c r="O249" s="81">
        <f>M249*K249</f>
        <v>0</v>
      </c>
      <c r="P249" s="99"/>
      <c r="R249" t="s">
        <v>365</v>
      </c>
      <c r="S249" s="126">
        <f>VLOOKUP(Input!$R$14,R247:S248,2,0)</f>
        <v>0</v>
      </c>
      <c r="T249" s="1"/>
    </row>
    <row r="250" spans="2:20" customFormat="1" x14ac:dyDescent="0.25">
      <c r="B250" s="84"/>
      <c r="C250" s="85"/>
      <c r="D250" s="11" t="str">
        <f>Basisgegevens!$D$38</f>
        <v>wiellaadschop 1 m³</v>
      </c>
      <c r="E250" s="85"/>
      <c r="F250" s="85"/>
      <c r="G250" s="85"/>
      <c r="H250" s="86" t="s">
        <v>111</v>
      </c>
      <c r="I250" s="87">
        <v>125</v>
      </c>
      <c r="J250" s="9"/>
      <c r="K250" s="87">
        <f>$K$254/I250</f>
        <v>0</v>
      </c>
      <c r="L250" s="86"/>
      <c r="M250" s="98">
        <f>Basisgegevens!$M$38</f>
        <v>67.5</v>
      </c>
      <c r="N250" s="86"/>
      <c r="O250" s="81">
        <f>K250*M250</f>
        <v>0</v>
      </c>
      <c r="P250" s="99"/>
      <c r="R250" s="58" t="s">
        <v>364</v>
      </c>
      <c r="S250" s="58" t="str">
        <f>D256</f>
        <v>sbs KF rood, dik 80</v>
      </c>
      <c r="T250" s="1"/>
    </row>
    <row r="251" spans="2:20" customFormat="1" x14ac:dyDescent="0.25">
      <c r="B251" s="110"/>
      <c r="C251" s="111"/>
      <c r="D251" s="10" t="s">
        <v>215</v>
      </c>
      <c r="E251" s="85"/>
      <c r="F251" s="85"/>
      <c r="G251" s="85"/>
      <c r="H251" s="86"/>
      <c r="I251" s="87"/>
      <c r="J251" s="9"/>
      <c r="K251" s="87"/>
      <c r="L251" s="86"/>
      <c r="M251" s="98"/>
      <c r="N251" s="86"/>
      <c r="O251" s="81"/>
      <c r="P251" s="112"/>
      <c r="R251" s="109">
        <v>3</v>
      </c>
      <c r="S251" s="96">
        <f>K232/2/1000*5*1</f>
        <v>0</v>
      </c>
      <c r="T251" s="118">
        <v>1</v>
      </c>
    </row>
    <row r="252" spans="2:20" customFormat="1" x14ac:dyDescent="0.25">
      <c r="B252" s="110"/>
      <c r="C252" s="111"/>
      <c r="D252" s="11" t="str">
        <f>Basisgegevens!$D$90</f>
        <v>schraalbeton</v>
      </c>
      <c r="E252" s="85"/>
      <c r="F252" s="85"/>
      <c r="G252" s="85"/>
      <c r="H252" s="86" t="s">
        <v>168</v>
      </c>
      <c r="I252" s="87">
        <v>1</v>
      </c>
      <c r="J252" s="9"/>
      <c r="K252" s="87">
        <f>S245</f>
        <v>0</v>
      </c>
      <c r="L252" s="86"/>
      <c r="M252" s="98">
        <f>Basisgegevens!$M$90</f>
        <v>38</v>
      </c>
      <c r="N252" s="86"/>
      <c r="O252" s="81">
        <f>K252*M252</f>
        <v>0</v>
      </c>
      <c r="P252" s="112"/>
      <c r="R252" s="17">
        <v>2</v>
      </c>
      <c r="S252" s="96">
        <f>K232/2/1000*5*0.15</f>
        <v>0</v>
      </c>
      <c r="T252" s="118">
        <v>0.15</v>
      </c>
    </row>
    <row r="253" spans="2:20" customFormat="1" x14ac:dyDescent="0.25">
      <c r="B253" s="110"/>
      <c r="C253" s="111"/>
      <c r="D253" s="86" t="s">
        <v>214</v>
      </c>
      <c r="E253" s="85"/>
      <c r="F253" s="85"/>
      <c r="G253" s="85"/>
      <c r="H253" s="100"/>
      <c r="I253" s="87"/>
      <c r="J253" s="9"/>
      <c r="K253" s="87"/>
      <c r="L253" s="86"/>
      <c r="M253" s="98"/>
      <c r="N253" s="86"/>
      <c r="O253" s="81"/>
      <c r="P253" s="112"/>
      <c r="R253" t="s">
        <v>365</v>
      </c>
      <c r="S253" s="126">
        <f>VLOOKUP(Input!$R$14,R251:S252,2,0)</f>
        <v>0</v>
      </c>
      <c r="T253" s="1"/>
    </row>
    <row r="254" spans="2:20" customFormat="1" x14ac:dyDescent="0.25">
      <c r="B254" s="110"/>
      <c r="C254" s="111"/>
      <c r="D254" s="45" t="str">
        <f>Basisgegevens!$D$114</f>
        <v>trottoirband 130/150x250</v>
      </c>
      <c r="E254" s="85"/>
      <c r="F254" s="85"/>
      <c r="G254" s="85"/>
      <c r="H254" s="100" t="s">
        <v>168</v>
      </c>
      <c r="I254" s="87">
        <v>1</v>
      </c>
      <c r="J254" s="9"/>
      <c r="K254" s="87">
        <f>S249</f>
        <v>0</v>
      </c>
      <c r="L254" s="86"/>
      <c r="M254" s="98">
        <f>Basisgegevens!$M$114</f>
        <v>10</v>
      </c>
      <c r="N254" s="86"/>
      <c r="O254" s="81">
        <f>M254*K254</f>
        <v>0</v>
      </c>
      <c r="P254" s="112"/>
      <c r="R254" s="58" t="s">
        <v>364</v>
      </c>
      <c r="S254" s="58" t="str">
        <f>D263</f>
        <v>schraalbeton</v>
      </c>
      <c r="T254" s="1"/>
    </row>
    <row r="255" spans="2:20" customFormat="1" x14ac:dyDescent="0.25">
      <c r="B255" s="110"/>
      <c r="C255" s="111"/>
      <c r="D255" s="86" t="s">
        <v>204</v>
      </c>
      <c r="E255" s="85"/>
      <c r="F255" s="85"/>
      <c r="G255" s="85"/>
      <c r="H255" s="100"/>
      <c r="I255" s="90"/>
      <c r="J255" s="9"/>
      <c r="K255" s="87"/>
      <c r="L255" s="86"/>
      <c r="M255" s="98"/>
      <c r="N255" s="86"/>
      <c r="O255" s="81"/>
      <c r="P255" s="112"/>
      <c r="R255" s="109">
        <v>3</v>
      </c>
      <c r="S255" s="96">
        <f>K232/2/55*1</f>
        <v>0</v>
      </c>
      <c r="T255" s="118">
        <v>1</v>
      </c>
    </row>
    <row r="256" spans="2:20" customFormat="1" x14ac:dyDescent="0.25">
      <c r="B256" s="110"/>
      <c r="C256" s="111"/>
      <c r="D256" s="45" t="str">
        <f>Basisgegevens!$D$106</f>
        <v>sbs KF rood, dik 80</v>
      </c>
      <c r="E256" s="85"/>
      <c r="F256" s="85"/>
      <c r="G256" s="85"/>
      <c r="H256" s="100" t="s">
        <v>208</v>
      </c>
      <c r="I256" s="90">
        <v>1</v>
      </c>
      <c r="J256" s="9"/>
      <c r="K256" s="87">
        <f>S253</f>
        <v>0</v>
      </c>
      <c r="L256" s="86"/>
      <c r="M256" s="88">
        <f>Basisgegevens!$M$106</f>
        <v>535</v>
      </c>
      <c r="N256" s="86"/>
      <c r="O256" s="81">
        <f>K256*M256</f>
        <v>0</v>
      </c>
      <c r="P256" s="112"/>
      <c r="R256" s="17">
        <v>2</v>
      </c>
      <c r="S256" s="96">
        <f>K232/2/55*0.15</f>
        <v>0</v>
      </c>
      <c r="T256" s="118">
        <v>0.15</v>
      </c>
    </row>
    <row r="257" spans="2:20" customFormat="1" x14ac:dyDescent="0.25">
      <c r="B257" s="110"/>
      <c r="C257" s="111"/>
      <c r="D257" s="86" t="s">
        <v>191</v>
      </c>
      <c r="E257" s="85"/>
      <c r="F257" s="85"/>
      <c r="G257" s="85"/>
      <c r="H257" s="100" t="s">
        <v>29</v>
      </c>
      <c r="I257" s="90"/>
      <c r="J257" s="9"/>
      <c r="K257" s="87"/>
      <c r="L257" s="86"/>
      <c r="M257" s="88"/>
      <c r="N257" s="86"/>
      <c r="O257" s="81"/>
      <c r="P257" s="112"/>
      <c r="R257" t="s">
        <v>365</v>
      </c>
      <c r="S257" s="126">
        <f>VLOOKUP(Input!$R$14,R255:S256,2,0)</f>
        <v>0</v>
      </c>
      <c r="T257" s="1"/>
    </row>
    <row r="258" spans="2:20" customFormat="1" x14ac:dyDescent="0.25">
      <c r="B258" s="110"/>
      <c r="C258" s="111"/>
      <c r="D258" s="11" t="str">
        <f>Basisgegevens!$D$14</f>
        <v>stratenmaker</v>
      </c>
      <c r="E258" s="85"/>
      <c r="F258" s="85"/>
      <c r="G258" s="85"/>
      <c r="H258" s="86" t="s">
        <v>111</v>
      </c>
      <c r="I258" s="87">
        <v>10</v>
      </c>
      <c r="J258" s="9"/>
      <c r="K258" s="87">
        <f>K232/2*0.4/I258</f>
        <v>0</v>
      </c>
      <c r="L258" s="86"/>
      <c r="M258" s="98">
        <f>Basisgegevens!$M$14</f>
        <v>38</v>
      </c>
      <c r="N258" s="86"/>
      <c r="O258" s="81">
        <f>M258*K258</f>
        <v>0</v>
      </c>
      <c r="P258" s="112"/>
      <c r="R258" s="58" t="s">
        <v>364</v>
      </c>
      <c r="S258" s="58" t="str">
        <f>D265</f>
        <v>sbs KF rood, dik 80</v>
      </c>
      <c r="T258" s="1"/>
    </row>
    <row r="259" spans="2:20" customFormat="1" x14ac:dyDescent="0.25">
      <c r="B259" s="110"/>
      <c r="C259" s="111"/>
      <c r="D259" s="11" t="str">
        <f>Basisgegevens!$D$14</f>
        <v>stratenmaker</v>
      </c>
      <c r="E259" s="85"/>
      <c r="F259" s="85"/>
      <c r="G259" s="85"/>
      <c r="H259" s="86" t="s">
        <v>111</v>
      </c>
      <c r="I259" s="87">
        <v>10</v>
      </c>
      <c r="J259" s="9"/>
      <c r="K259" s="87">
        <f>K232/2*0.4/I259</f>
        <v>0</v>
      </c>
      <c r="L259" s="86"/>
      <c r="M259" s="98">
        <f>Basisgegevens!$M$14</f>
        <v>38</v>
      </c>
      <c r="N259" s="86"/>
      <c r="O259" s="81">
        <f>M259*K259</f>
        <v>0</v>
      </c>
      <c r="P259" s="112"/>
      <c r="R259" s="109">
        <v>3</v>
      </c>
      <c r="S259" s="96">
        <f>(K232/2/1000*5*3*1)</f>
        <v>0</v>
      </c>
      <c r="T259" s="118">
        <v>1</v>
      </c>
    </row>
    <row r="260" spans="2:20" customFormat="1" x14ac:dyDescent="0.25">
      <c r="B260" s="110"/>
      <c r="C260" s="111"/>
      <c r="D260" s="45" t="str">
        <f>Basisgegevens!$D$13</f>
        <v>grondwerker</v>
      </c>
      <c r="E260" s="85"/>
      <c r="F260" s="85"/>
      <c r="G260" s="85"/>
      <c r="H260" s="100" t="s">
        <v>111</v>
      </c>
      <c r="I260" s="87">
        <v>10</v>
      </c>
      <c r="J260" s="9"/>
      <c r="K260" s="87">
        <f>K232/2*0.4/I260</f>
        <v>0</v>
      </c>
      <c r="L260" s="86"/>
      <c r="M260" s="98">
        <f>Basisgegevens!$M$13</f>
        <v>35</v>
      </c>
      <c r="N260" s="86"/>
      <c r="O260" s="81">
        <f>M260*K260</f>
        <v>0</v>
      </c>
      <c r="P260" s="112"/>
      <c r="R260" s="17">
        <v>2</v>
      </c>
      <c r="S260" s="96">
        <f>(K232/2/1000*5*3*0.15)</f>
        <v>0</v>
      </c>
      <c r="T260" s="118">
        <v>0.15</v>
      </c>
    </row>
    <row r="261" spans="2:20" customFormat="1" x14ac:dyDescent="0.25">
      <c r="B261" s="110"/>
      <c r="C261" s="111"/>
      <c r="D261" s="11" t="str">
        <f>Basisgegevens!$D$38</f>
        <v>wiellaadschop 1 m³</v>
      </c>
      <c r="E261" s="85"/>
      <c r="F261" s="85"/>
      <c r="G261" s="85"/>
      <c r="H261" s="86" t="s">
        <v>111</v>
      </c>
      <c r="I261" s="87">
        <v>100</v>
      </c>
      <c r="J261" s="9"/>
      <c r="K261" s="87">
        <f>K232/2*0.4/I261</f>
        <v>0</v>
      </c>
      <c r="L261" s="86"/>
      <c r="M261" s="98">
        <f>Basisgegevens!$M$38</f>
        <v>67.5</v>
      </c>
      <c r="N261" s="86"/>
      <c r="O261" s="81">
        <f>K261*M261</f>
        <v>0</v>
      </c>
      <c r="P261" s="112"/>
      <c r="R261" t="s">
        <v>365</v>
      </c>
      <c r="S261" s="126">
        <f>VLOOKUP(Input!$R$14,R259:S260,2,0)</f>
        <v>0</v>
      </c>
      <c r="T261" s="1"/>
    </row>
    <row r="262" spans="2:20" customFormat="1" x14ac:dyDescent="0.25">
      <c r="B262" s="110"/>
      <c r="C262" s="111"/>
      <c r="D262" s="10" t="s">
        <v>215</v>
      </c>
      <c r="E262" s="85"/>
      <c r="F262" s="85"/>
      <c r="G262" s="85"/>
      <c r="H262" s="86"/>
      <c r="I262" s="87"/>
      <c r="J262" s="9"/>
      <c r="K262" s="87"/>
      <c r="L262" s="86"/>
      <c r="M262" s="98"/>
      <c r="N262" s="86"/>
      <c r="O262" s="81"/>
      <c r="P262" s="112"/>
      <c r="R262" s="17"/>
      <c r="S262" s="96"/>
      <c r="T262" s="118"/>
    </row>
    <row r="263" spans="2:20" customFormat="1" x14ac:dyDescent="0.25">
      <c r="B263" s="110"/>
      <c r="C263" s="111"/>
      <c r="D263" s="11" t="str">
        <f>Basisgegevens!$D$90</f>
        <v>schraalbeton</v>
      </c>
      <c r="E263" s="85"/>
      <c r="F263" s="85"/>
      <c r="G263" s="85"/>
      <c r="H263" s="86" t="s">
        <v>168</v>
      </c>
      <c r="I263" s="87">
        <v>1</v>
      </c>
      <c r="J263" s="9"/>
      <c r="K263" s="87">
        <f>S257</f>
        <v>0</v>
      </c>
      <c r="L263" s="86"/>
      <c r="M263" s="98">
        <f>Basisgegevens!$M$90</f>
        <v>38</v>
      </c>
      <c r="N263" s="86"/>
      <c r="O263" s="81">
        <f>K263*M263</f>
        <v>0</v>
      </c>
      <c r="P263" s="112"/>
      <c r="R263" s="17"/>
      <c r="S263" s="96"/>
      <c r="T263" s="118"/>
    </row>
    <row r="264" spans="2:20" customFormat="1" x14ac:dyDescent="0.25">
      <c r="B264" s="110"/>
      <c r="C264" s="111"/>
      <c r="D264" s="86" t="s">
        <v>204</v>
      </c>
      <c r="E264" s="85"/>
      <c r="F264" s="85"/>
      <c r="G264" s="85"/>
      <c r="H264" s="100"/>
      <c r="I264" s="90"/>
      <c r="J264" s="9"/>
      <c r="K264" s="87"/>
      <c r="L264" s="86"/>
      <c r="M264" s="98"/>
      <c r="N264" s="86"/>
      <c r="O264" s="81"/>
      <c r="P264" s="112"/>
      <c r="R264" s="17"/>
      <c r="S264" s="96"/>
      <c r="T264" s="118"/>
    </row>
    <row r="265" spans="2:20" customFormat="1" x14ac:dyDescent="0.25">
      <c r="B265" s="110"/>
      <c r="C265" s="111"/>
      <c r="D265" s="45" t="str">
        <f>Basisgegevens!$D$106</f>
        <v>sbs KF rood, dik 80</v>
      </c>
      <c r="E265" s="85"/>
      <c r="F265" s="85"/>
      <c r="G265" s="85"/>
      <c r="H265" s="100" t="s">
        <v>208</v>
      </c>
      <c r="I265" s="90">
        <v>1</v>
      </c>
      <c r="J265" s="9"/>
      <c r="K265" s="87">
        <f>S261</f>
        <v>0</v>
      </c>
      <c r="L265" s="86"/>
      <c r="M265" s="88">
        <f>Basisgegevens!$M$106</f>
        <v>535</v>
      </c>
      <c r="N265" s="86"/>
      <c r="O265" s="81">
        <f>K265*M265</f>
        <v>0</v>
      </c>
      <c r="P265" s="112"/>
      <c r="R265" s="17"/>
      <c r="S265" s="96"/>
      <c r="T265" s="118"/>
    </row>
    <row r="266" spans="2:20" x14ac:dyDescent="0.25">
      <c r="B266" s="73"/>
      <c r="C266" s="83"/>
      <c r="D266" s="83" t="s">
        <v>22</v>
      </c>
      <c r="E266" s="83"/>
      <c r="F266" s="83"/>
      <c r="G266" s="83"/>
      <c r="H266" s="83" t="str">
        <f>H232</f>
        <v>m2</v>
      </c>
      <c r="I266" s="80"/>
      <c r="J266" s="83"/>
      <c r="K266" s="80">
        <f>K232</f>
        <v>0</v>
      </c>
      <c r="L266" s="83"/>
      <c r="M266" s="103" t="e">
        <f>O266/K232</f>
        <v>#DIV/0!</v>
      </c>
      <c r="N266" s="83"/>
      <c r="O266" s="103">
        <f>SUM(O233:O265)</f>
        <v>0</v>
      </c>
      <c r="P266" s="104"/>
      <c r="Q266"/>
      <c r="R266"/>
      <c r="S266" s="126"/>
    </row>
    <row r="267" spans="2:20" ht="5.0999999999999996" customHeight="1" thickBot="1" x14ac:dyDescent="0.3">
      <c r="B267" s="12"/>
      <c r="C267" s="13"/>
      <c r="D267" s="13"/>
      <c r="E267" s="13"/>
      <c r="F267" s="13"/>
      <c r="G267" s="13"/>
      <c r="H267" s="13"/>
      <c r="I267" s="15"/>
      <c r="J267" s="13"/>
      <c r="K267" s="15"/>
      <c r="L267" s="13"/>
      <c r="M267" s="13"/>
      <c r="N267" s="13"/>
      <c r="O267" s="13"/>
      <c r="P267" s="14"/>
      <c r="Q267"/>
    </row>
    <row r="268" spans="2:20" ht="30" customHeight="1" thickBot="1" x14ac:dyDescent="0.3"/>
    <row r="269" spans="2:20" ht="5.0999999999999996" customHeight="1" x14ac:dyDescent="0.25">
      <c r="B269" s="3"/>
      <c r="C269" s="4"/>
      <c r="D269" s="4"/>
      <c r="E269" s="4"/>
      <c r="F269" s="4"/>
      <c r="G269" s="4"/>
      <c r="H269" s="55"/>
      <c r="I269" s="4"/>
      <c r="J269" s="4"/>
      <c r="K269" s="4"/>
      <c r="L269" s="4"/>
      <c r="M269" s="4"/>
      <c r="N269" s="4"/>
      <c r="O269" s="4"/>
      <c r="P269" s="5"/>
      <c r="Q269"/>
      <c r="R269"/>
    </row>
    <row r="270" spans="2:20" x14ac:dyDescent="0.25">
      <c r="B270" s="34"/>
      <c r="C270" s="94"/>
      <c r="D270" s="36"/>
      <c r="E270" s="36"/>
      <c r="F270" s="36"/>
      <c r="G270" s="36"/>
      <c r="H270" s="36"/>
      <c r="I270" s="44"/>
      <c r="J270" s="36"/>
      <c r="K270" s="44"/>
      <c r="L270" s="36"/>
      <c r="M270" s="36"/>
      <c r="N270" s="36"/>
      <c r="O270" s="36"/>
      <c r="P270" s="37"/>
      <c r="Q270"/>
      <c r="R270" s="105" t="s">
        <v>137</v>
      </c>
    </row>
    <row r="271" spans="2:20" x14ac:dyDescent="0.25">
      <c r="B271" s="34"/>
      <c r="C271" s="35" t="s">
        <v>398</v>
      </c>
      <c r="D271" s="36"/>
      <c r="E271" s="36"/>
      <c r="F271" s="36"/>
      <c r="G271" s="36"/>
      <c r="H271"/>
      <c r="I271" s="44"/>
      <c r="J271"/>
      <c r="K271" s="44"/>
      <c r="L271" s="36"/>
      <c r="O271" s="71" t="s">
        <v>62</v>
      </c>
      <c r="P271" s="37"/>
      <c r="Q271"/>
      <c r="R271" s="1" t="s">
        <v>413</v>
      </c>
    </row>
    <row r="272" spans="2:20" ht="15.75" thickBot="1" x14ac:dyDescent="0.3">
      <c r="B272" s="68"/>
      <c r="C272" s="48" t="s">
        <v>56</v>
      </c>
      <c r="D272" s="48" t="s">
        <v>55</v>
      </c>
      <c r="E272" s="50"/>
      <c r="F272" s="48"/>
      <c r="G272" s="48"/>
      <c r="H272" s="48" t="s">
        <v>107</v>
      </c>
      <c r="I272" s="78" t="s">
        <v>108</v>
      </c>
      <c r="J272" s="69"/>
      <c r="K272" s="82" t="s">
        <v>110</v>
      </c>
      <c r="L272" s="48"/>
      <c r="M272" s="48" t="s">
        <v>109</v>
      </c>
      <c r="N272" s="48"/>
      <c r="O272" s="48" t="s">
        <v>19</v>
      </c>
      <c r="P272" s="70"/>
      <c r="Q272"/>
      <c r="R272" t="s">
        <v>181</v>
      </c>
    </row>
    <row r="273" spans="2:20" x14ac:dyDescent="0.25">
      <c r="B273" s="84"/>
      <c r="C273" s="85"/>
      <c r="D273" s="86" t="s">
        <v>203</v>
      </c>
      <c r="E273" s="85"/>
      <c r="F273" s="85"/>
      <c r="G273" s="85"/>
      <c r="H273" s="86" t="s">
        <v>59</v>
      </c>
      <c r="I273" s="89"/>
      <c r="J273" s="9"/>
      <c r="K273" s="87">
        <f>Input!$K$47</f>
        <v>0</v>
      </c>
      <c r="L273" s="86"/>
      <c r="M273" s="86"/>
      <c r="N273" s="86"/>
      <c r="O273" s="86"/>
      <c r="P273" s="99"/>
      <c r="Q273"/>
      <c r="R273" s="1" t="s">
        <v>213</v>
      </c>
    </row>
    <row r="274" spans="2:20" x14ac:dyDescent="0.25">
      <c r="B274" s="84"/>
      <c r="C274" s="85"/>
      <c r="D274" s="11" t="str">
        <f>Basisgegevens!$D$14</f>
        <v>stratenmaker</v>
      </c>
      <c r="E274" s="85"/>
      <c r="F274" s="85"/>
      <c r="G274" s="85"/>
      <c r="H274" s="86" t="s">
        <v>111</v>
      </c>
      <c r="I274" s="87">
        <v>15</v>
      </c>
      <c r="J274" s="9"/>
      <c r="K274" s="87">
        <f>K273/2*1.6/I274</f>
        <v>0</v>
      </c>
      <c r="L274" s="86"/>
      <c r="M274" s="98">
        <f>Basisgegevens!$M$14</f>
        <v>38</v>
      </c>
      <c r="N274" s="86"/>
      <c r="O274" s="81">
        <f>M274*K274</f>
        <v>0</v>
      </c>
      <c r="P274" s="99"/>
      <c r="Q274"/>
      <c r="R274" s="66" t="s">
        <v>217</v>
      </c>
    </row>
    <row r="275" spans="2:20" customFormat="1" x14ac:dyDescent="0.25">
      <c r="B275" s="84"/>
      <c r="C275" s="85"/>
      <c r="D275" s="11" t="str">
        <f>Basisgegevens!$D$14</f>
        <v>stratenmaker</v>
      </c>
      <c r="E275" s="85"/>
      <c r="F275" s="85"/>
      <c r="G275" s="85"/>
      <c r="H275" s="86" t="s">
        <v>111</v>
      </c>
      <c r="I275" s="87">
        <v>15</v>
      </c>
      <c r="J275" s="9"/>
      <c r="K275" s="87">
        <f>K273/2*1.6/I275</f>
        <v>0</v>
      </c>
      <c r="L275" s="86"/>
      <c r="M275" s="98">
        <f>Basisgegevens!$M$14</f>
        <v>38</v>
      </c>
      <c r="N275" s="86"/>
      <c r="O275" s="81">
        <f>M275*K275</f>
        <v>0</v>
      </c>
      <c r="P275" s="99"/>
      <c r="R275" t="s">
        <v>367</v>
      </c>
    </row>
    <row r="276" spans="2:20" customFormat="1" x14ac:dyDescent="0.25">
      <c r="B276" s="84"/>
      <c r="C276" s="85"/>
      <c r="D276" s="45" t="str">
        <f>Basisgegevens!$D$13</f>
        <v>grondwerker</v>
      </c>
      <c r="E276" s="85"/>
      <c r="F276" s="85"/>
      <c r="G276" s="85"/>
      <c r="H276" s="100" t="s">
        <v>111</v>
      </c>
      <c r="I276" s="87">
        <v>15</v>
      </c>
      <c r="J276" s="9"/>
      <c r="K276" s="87">
        <f>K273/2*1.6/I276</f>
        <v>0</v>
      </c>
      <c r="L276" s="86"/>
      <c r="M276" s="98">
        <f>Basisgegevens!$M$13</f>
        <v>35</v>
      </c>
      <c r="N276" s="86"/>
      <c r="O276" s="81">
        <f>M276*K276</f>
        <v>0</v>
      </c>
      <c r="P276" s="99"/>
      <c r="R276" s="1" t="s">
        <v>368</v>
      </c>
    </row>
    <row r="277" spans="2:20" customFormat="1" x14ac:dyDescent="0.25">
      <c r="B277" s="84"/>
      <c r="C277" s="85"/>
      <c r="D277" s="11" t="str">
        <f>Basisgegevens!$D$38</f>
        <v>wiellaadschop 1 m³</v>
      </c>
      <c r="E277" s="85"/>
      <c r="F277" s="85"/>
      <c r="G277" s="85"/>
      <c r="H277" s="86" t="s">
        <v>111</v>
      </c>
      <c r="I277" s="87">
        <v>125</v>
      </c>
      <c r="J277" s="9"/>
      <c r="K277" s="87">
        <f>K273/2*1.6/I277</f>
        <v>0</v>
      </c>
      <c r="L277" s="86"/>
      <c r="M277" s="98">
        <f>Basisgegevens!$M$38</f>
        <v>67.5</v>
      </c>
      <c r="N277" s="86"/>
      <c r="O277" s="81">
        <f>K277*M277</f>
        <v>0</v>
      </c>
      <c r="P277" s="99"/>
      <c r="R277" s="1" t="s">
        <v>220</v>
      </c>
    </row>
    <row r="278" spans="2:20" customFormat="1" x14ac:dyDescent="0.25">
      <c r="B278" s="84"/>
      <c r="C278" s="85"/>
      <c r="D278" s="11" t="str">
        <f>Basisgegevens!$D$43</f>
        <v>trilplaat 1000 kg, excl. bediening</v>
      </c>
      <c r="E278" s="85"/>
      <c r="F278" s="85"/>
      <c r="G278" s="85"/>
      <c r="H278" s="86" t="s">
        <v>170</v>
      </c>
      <c r="I278" s="87">
        <v>1000</v>
      </c>
      <c r="J278" s="9"/>
      <c r="K278" s="87">
        <f>K273/I278</f>
        <v>0</v>
      </c>
      <c r="L278" s="86"/>
      <c r="M278" s="98">
        <f>Basisgegevens!$M$43</f>
        <v>20</v>
      </c>
      <c r="N278" s="86"/>
      <c r="O278" s="81">
        <f>K278*M278</f>
        <v>0</v>
      </c>
      <c r="P278" s="99"/>
      <c r="R278" s="66" t="s">
        <v>221</v>
      </c>
    </row>
    <row r="279" spans="2:20" customFormat="1" x14ac:dyDescent="0.25">
      <c r="B279" s="84"/>
      <c r="C279" s="85"/>
      <c r="D279" s="11" t="str">
        <f>Basisgegevens!$D$86</f>
        <v>brekerzand</v>
      </c>
      <c r="E279" s="85"/>
      <c r="F279" s="85"/>
      <c r="G279" s="85"/>
      <c r="H279" s="86" t="s">
        <v>168</v>
      </c>
      <c r="I279" s="87">
        <v>1</v>
      </c>
      <c r="J279" s="9"/>
      <c r="K279" s="87">
        <f>K273/100*1/1.7</f>
        <v>0</v>
      </c>
      <c r="L279" s="86"/>
      <c r="M279" s="98">
        <f>Basisgegevens!$M$86</f>
        <v>8.5</v>
      </c>
      <c r="N279" s="86"/>
      <c r="O279" s="81">
        <f>K279*M279</f>
        <v>0</v>
      </c>
      <c r="P279" s="99"/>
      <c r="R279" s="58" t="s">
        <v>364</v>
      </c>
      <c r="S279" s="58" t="str">
        <f>D286</f>
        <v>bss KF heide paars, dik 80</v>
      </c>
      <c r="T279" s="1"/>
    </row>
    <row r="280" spans="2:20" customFormat="1" x14ac:dyDescent="0.25">
      <c r="B280" s="84"/>
      <c r="C280" s="85"/>
      <c r="D280" s="10" t="s">
        <v>209</v>
      </c>
      <c r="E280" s="85"/>
      <c r="F280" s="85"/>
      <c r="G280" s="85"/>
      <c r="H280" s="86"/>
      <c r="I280" s="87"/>
      <c r="J280" s="9"/>
      <c r="K280" s="87"/>
      <c r="L280" s="86"/>
      <c r="M280" s="98"/>
      <c r="N280" s="86"/>
      <c r="O280" s="81"/>
      <c r="P280" s="99"/>
      <c r="R280" s="109">
        <v>3</v>
      </c>
      <c r="S280" s="96">
        <f>K273/2*1.6*45/1000*1</f>
        <v>0</v>
      </c>
      <c r="T280" s="118">
        <v>1</v>
      </c>
    </row>
    <row r="281" spans="2:20" customFormat="1" x14ac:dyDescent="0.25">
      <c r="B281" s="84"/>
      <c r="C281" s="85"/>
      <c r="D281" s="11" t="str">
        <f>Basisgegevens!$D$38</f>
        <v>wiellaadschop 1 m³</v>
      </c>
      <c r="E281" s="85"/>
      <c r="F281" s="85"/>
      <c r="G281" s="85"/>
      <c r="H281" s="86" t="s">
        <v>111</v>
      </c>
      <c r="I281" s="87">
        <v>125</v>
      </c>
      <c r="J281" s="9"/>
      <c r="K281" s="87">
        <f>K273/2*1.6/I281</f>
        <v>0</v>
      </c>
      <c r="L281" s="86"/>
      <c r="M281" s="98">
        <f>Basisgegevens!$M$38</f>
        <v>67.5</v>
      </c>
      <c r="N281" s="86"/>
      <c r="O281" s="81">
        <f>K281*M281</f>
        <v>0</v>
      </c>
      <c r="P281" s="99"/>
      <c r="R281" s="17">
        <v>2</v>
      </c>
      <c r="S281" s="96">
        <f>K273/2*1.6*45/1000*0.15</f>
        <v>0</v>
      </c>
      <c r="T281" s="118">
        <v>0.15</v>
      </c>
    </row>
    <row r="282" spans="2:20" customFormat="1" x14ac:dyDescent="0.25">
      <c r="B282" s="84"/>
      <c r="C282" s="85"/>
      <c r="D282" s="45" t="str">
        <f>Basisgegevens!$D$13</f>
        <v>grondwerker</v>
      </c>
      <c r="E282" s="85"/>
      <c r="F282" s="85"/>
      <c r="G282" s="85"/>
      <c r="H282" s="100" t="s">
        <v>111</v>
      </c>
      <c r="I282" s="87">
        <v>125</v>
      </c>
      <c r="J282" s="9"/>
      <c r="K282" s="87">
        <f>K273/2*1.6/I282</f>
        <v>0</v>
      </c>
      <c r="L282" s="86"/>
      <c r="M282" s="98">
        <f>Basisgegevens!$M$13</f>
        <v>35</v>
      </c>
      <c r="N282" s="86"/>
      <c r="O282" s="81">
        <f>M282*K282</f>
        <v>0</v>
      </c>
      <c r="P282" s="99"/>
      <c r="R282" t="s">
        <v>365</v>
      </c>
      <c r="S282" s="126">
        <f>VLOOKUP(Input!$R$14,R280:S281,2,0)</f>
        <v>0</v>
      </c>
      <c r="T282" s="1"/>
    </row>
    <row r="283" spans="2:20" customFormat="1" x14ac:dyDescent="0.25">
      <c r="B283" s="84"/>
      <c r="C283" s="85"/>
      <c r="D283" s="86" t="s">
        <v>210</v>
      </c>
      <c r="E283" s="85"/>
      <c r="F283" s="85"/>
      <c r="G283" s="85"/>
      <c r="H283" s="100"/>
      <c r="I283" s="87"/>
      <c r="J283" s="9"/>
      <c r="K283" s="87"/>
      <c r="L283" s="86"/>
      <c r="M283" s="98"/>
      <c r="N283" s="86"/>
      <c r="O283" s="81"/>
      <c r="P283" s="99"/>
      <c r="R283" s="58" t="s">
        <v>364</v>
      </c>
      <c r="S283" s="58" t="str">
        <f>D293</f>
        <v>schraalbeton</v>
      </c>
      <c r="T283" s="1"/>
    </row>
    <row r="284" spans="2:20" customFormat="1" x14ac:dyDescent="0.25">
      <c r="B284" s="84"/>
      <c r="C284" s="85"/>
      <c r="D284" s="45" t="str">
        <f>Basisgegevens!$D$86</f>
        <v>brekerzand</v>
      </c>
      <c r="E284" s="85"/>
      <c r="F284" s="85"/>
      <c r="G284" s="85"/>
      <c r="H284" s="100" t="s">
        <v>168</v>
      </c>
      <c r="I284" s="87">
        <v>1</v>
      </c>
      <c r="J284" s="9"/>
      <c r="K284" s="87">
        <f>(K273*0.05*1.7/(1.6/2))</f>
        <v>0</v>
      </c>
      <c r="L284" s="86"/>
      <c r="M284" s="98">
        <f>Basisgegevens!$M$86</f>
        <v>8.5</v>
      </c>
      <c r="N284" s="86"/>
      <c r="O284" s="81">
        <f>M284*K284</f>
        <v>0</v>
      </c>
      <c r="P284" s="99"/>
      <c r="R284" s="109">
        <v>3</v>
      </c>
      <c r="S284" s="96">
        <f>K273/2/55*1</f>
        <v>0</v>
      </c>
      <c r="T284" s="118">
        <v>1</v>
      </c>
    </row>
    <row r="285" spans="2:20" customFormat="1" x14ac:dyDescent="0.25">
      <c r="B285" s="84"/>
      <c r="C285" s="85"/>
      <c r="D285" s="86" t="s">
        <v>204</v>
      </c>
      <c r="E285" s="85"/>
      <c r="F285" s="85"/>
      <c r="G285" s="85"/>
      <c r="H285" s="100"/>
      <c r="I285" s="90"/>
      <c r="J285" s="9"/>
      <c r="K285" s="87"/>
      <c r="L285" s="86"/>
      <c r="M285" s="98"/>
      <c r="N285" s="86"/>
      <c r="O285" s="81"/>
      <c r="P285" s="99"/>
      <c r="R285" s="17">
        <v>2</v>
      </c>
      <c r="S285" s="96">
        <f>K273/2/55*0.15</f>
        <v>0</v>
      </c>
      <c r="T285" s="118">
        <v>0.15</v>
      </c>
    </row>
    <row r="286" spans="2:20" x14ac:dyDescent="0.25">
      <c r="B286" s="84"/>
      <c r="C286" s="85"/>
      <c r="D286" s="45" t="str">
        <f>Basisgegevens!$D$99</f>
        <v>bss KF heide paars, dik 80</v>
      </c>
      <c r="E286" s="85"/>
      <c r="F286" s="85"/>
      <c r="G286" s="85"/>
      <c r="H286" s="100" t="s">
        <v>208</v>
      </c>
      <c r="I286" s="90">
        <v>1</v>
      </c>
      <c r="J286" s="9"/>
      <c r="K286" s="87">
        <f>S282</f>
        <v>0</v>
      </c>
      <c r="L286" s="86"/>
      <c r="M286" s="88">
        <f>Basisgegevens!$M$99</f>
        <v>250</v>
      </c>
      <c r="N286" s="86"/>
      <c r="O286" s="81">
        <f>K286*M286</f>
        <v>0</v>
      </c>
      <c r="P286" s="99"/>
      <c r="Q286"/>
      <c r="R286" t="s">
        <v>365</v>
      </c>
      <c r="S286" s="126">
        <f>VLOOKUP(Input!$R$14,R284:S285,2,0)</f>
        <v>0</v>
      </c>
    </row>
    <row r="287" spans="2:20" x14ac:dyDescent="0.25">
      <c r="B287" s="84"/>
      <c r="C287" s="85"/>
      <c r="D287" s="86" t="s">
        <v>262</v>
      </c>
      <c r="E287" s="85"/>
      <c r="F287" s="85"/>
      <c r="G287" s="85"/>
      <c r="H287" s="86" t="s">
        <v>29</v>
      </c>
      <c r="I287" s="89"/>
      <c r="J287" s="9"/>
      <c r="K287" s="87"/>
      <c r="L287" s="86"/>
      <c r="M287" s="86"/>
      <c r="N287" s="86"/>
      <c r="O287" s="86"/>
      <c r="P287" s="99"/>
      <c r="Q287"/>
      <c r="R287" s="58" t="s">
        <v>364</v>
      </c>
      <c r="S287" s="58" t="str">
        <f>D295</f>
        <v>trottoirband 130/150x250</v>
      </c>
    </row>
    <row r="288" spans="2:20" x14ac:dyDescent="0.25">
      <c r="B288" s="84"/>
      <c r="C288" s="85"/>
      <c r="D288" s="11" t="str">
        <f>Basisgegevens!$D$14</f>
        <v>stratenmaker</v>
      </c>
      <c r="E288" s="85"/>
      <c r="F288" s="85"/>
      <c r="G288" s="85"/>
      <c r="H288" s="86" t="s">
        <v>111</v>
      </c>
      <c r="I288" s="87">
        <v>8</v>
      </c>
      <c r="J288" s="9"/>
      <c r="K288" s="87">
        <f>$K$295/I288</f>
        <v>0</v>
      </c>
      <c r="L288" s="86"/>
      <c r="M288" s="98">
        <f>Basisgegevens!$M$14</f>
        <v>38</v>
      </c>
      <c r="N288" s="86"/>
      <c r="O288" s="81">
        <f>M288*K288</f>
        <v>0</v>
      </c>
      <c r="P288" s="99"/>
      <c r="Q288"/>
      <c r="R288" s="109">
        <v>3</v>
      </c>
      <c r="S288" s="96">
        <f>K273/2*1</f>
        <v>0</v>
      </c>
      <c r="T288" s="118">
        <v>1</v>
      </c>
    </row>
    <row r="289" spans="2:20" customFormat="1" x14ac:dyDescent="0.25">
      <c r="B289" s="84"/>
      <c r="C289" s="85"/>
      <c r="D289" s="11" t="str">
        <f>Basisgegevens!$D$14</f>
        <v>stratenmaker</v>
      </c>
      <c r="E289" s="85"/>
      <c r="F289" s="85"/>
      <c r="G289" s="85"/>
      <c r="H289" s="86" t="s">
        <v>111</v>
      </c>
      <c r="I289" s="87">
        <v>8</v>
      </c>
      <c r="J289" s="9"/>
      <c r="K289" s="87">
        <f>$K$295/I289</f>
        <v>0</v>
      </c>
      <c r="L289" s="86"/>
      <c r="M289" s="98">
        <f>Basisgegevens!$M$14</f>
        <v>38</v>
      </c>
      <c r="N289" s="86"/>
      <c r="O289" s="81">
        <f>M289*K289</f>
        <v>0</v>
      </c>
      <c r="P289" s="99"/>
      <c r="R289" s="17">
        <v>2</v>
      </c>
      <c r="S289" s="96">
        <f>K273/2*0.15</f>
        <v>0</v>
      </c>
      <c r="T289" s="118">
        <v>0.15</v>
      </c>
    </row>
    <row r="290" spans="2:20" customFormat="1" x14ac:dyDescent="0.25">
      <c r="B290" s="84"/>
      <c r="C290" s="85"/>
      <c r="D290" s="45" t="str">
        <f>Basisgegevens!$D$13</f>
        <v>grondwerker</v>
      </c>
      <c r="E290" s="85"/>
      <c r="F290" s="85"/>
      <c r="G290" s="85"/>
      <c r="H290" s="100" t="s">
        <v>111</v>
      </c>
      <c r="I290" s="87">
        <v>8</v>
      </c>
      <c r="J290" s="9"/>
      <c r="K290" s="87">
        <f>$K$295/I290</f>
        <v>0</v>
      </c>
      <c r="L290" s="86"/>
      <c r="M290" s="98">
        <f>Basisgegevens!$M$13</f>
        <v>35</v>
      </c>
      <c r="N290" s="86"/>
      <c r="O290" s="81">
        <f>M290*K290</f>
        <v>0</v>
      </c>
      <c r="P290" s="99"/>
      <c r="R290" t="s">
        <v>365</v>
      </c>
      <c r="S290" s="126">
        <f>VLOOKUP(Input!$R$14,R288:S289,2,0)</f>
        <v>0</v>
      </c>
      <c r="T290" s="1"/>
    </row>
    <row r="291" spans="2:20" customFormat="1" x14ac:dyDescent="0.25">
      <c r="B291" s="84"/>
      <c r="C291" s="85"/>
      <c r="D291" s="11" t="str">
        <f>Basisgegevens!$D$38</f>
        <v>wiellaadschop 1 m³</v>
      </c>
      <c r="E291" s="85"/>
      <c r="F291" s="85"/>
      <c r="G291" s="85"/>
      <c r="H291" s="86" t="s">
        <v>111</v>
      </c>
      <c r="I291" s="87">
        <v>125</v>
      </c>
      <c r="J291" s="9"/>
      <c r="K291" s="87">
        <f>$K$295/I291</f>
        <v>0</v>
      </c>
      <c r="L291" s="86"/>
      <c r="M291" s="98">
        <f>Basisgegevens!$M$38</f>
        <v>67.5</v>
      </c>
      <c r="N291" s="86"/>
      <c r="O291" s="81">
        <f>K291*M291</f>
        <v>0</v>
      </c>
      <c r="P291" s="99"/>
      <c r="R291" s="58" t="s">
        <v>364</v>
      </c>
      <c r="S291" s="58" t="str">
        <f>D297</f>
        <v>bss KF heide paars, dik 80</v>
      </c>
      <c r="T291" s="1"/>
    </row>
    <row r="292" spans="2:20" customFormat="1" x14ac:dyDescent="0.25">
      <c r="B292" s="110"/>
      <c r="C292" s="111"/>
      <c r="D292" s="10" t="s">
        <v>215</v>
      </c>
      <c r="E292" s="85"/>
      <c r="F292" s="85"/>
      <c r="G292" s="85"/>
      <c r="H292" s="86"/>
      <c r="I292" s="87"/>
      <c r="J292" s="9"/>
      <c r="K292" s="87"/>
      <c r="L292" s="86"/>
      <c r="M292" s="98"/>
      <c r="N292" s="86"/>
      <c r="O292" s="81"/>
      <c r="P292" s="112"/>
      <c r="R292" s="109">
        <v>3</v>
      </c>
      <c r="S292" s="96">
        <f>K273/2/1000*5*1</f>
        <v>0</v>
      </c>
      <c r="T292" s="118">
        <v>1</v>
      </c>
    </row>
    <row r="293" spans="2:20" customFormat="1" x14ac:dyDescent="0.25">
      <c r="B293" s="110"/>
      <c r="C293" s="111"/>
      <c r="D293" s="11" t="str">
        <f>Basisgegevens!$D$90</f>
        <v>schraalbeton</v>
      </c>
      <c r="E293" s="85"/>
      <c r="F293" s="85"/>
      <c r="G293" s="85"/>
      <c r="H293" s="86" t="s">
        <v>168</v>
      </c>
      <c r="I293" s="87">
        <v>1</v>
      </c>
      <c r="J293" s="9"/>
      <c r="K293" s="87">
        <f>S286</f>
        <v>0</v>
      </c>
      <c r="L293" s="86"/>
      <c r="M293" s="98">
        <f>Basisgegevens!$M$90</f>
        <v>38</v>
      </c>
      <c r="N293" s="86"/>
      <c r="O293" s="81">
        <f>K293*M293</f>
        <v>0</v>
      </c>
      <c r="P293" s="112"/>
      <c r="R293" s="17">
        <v>2</v>
      </c>
      <c r="S293" s="96">
        <f>K273/2/1000*5*0.15</f>
        <v>0</v>
      </c>
      <c r="T293" s="118">
        <v>0.15</v>
      </c>
    </row>
    <row r="294" spans="2:20" customFormat="1" x14ac:dyDescent="0.25">
      <c r="B294" s="110"/>
      <c r="C294" s="111"/>
      <c r="D294" s="86" t="s">
        <v>214</v>
      </c>
      <c r="E294" s="85"/>
      <c r="F294" s="85"/>
      <c r="G294" s="85"/>
      <c r="H294" s="100"/>
      <c r="I294" s="87"/>
      <c r="J294" s="9"/>
      <c r="K294" s="87"/>
      <c r="L294" s="86"/>
      <c r="M294" s="98"/>
      <c r="N294" s="86"/>
      <c r="O294" s="81"/>
      <c r="P294" s="112"/>
      <c r="R294" t="s">
        <v>365</v>
      </c>
      <c r="S294" s="126">
        <f>VLOOKUP(Input!$R$14,R292:S293,2,0)</f>
        <v>0</v>
      </c>
      <c r="T294" s="1"/>
    </row>
    <row r="295" spans="2:20" customFormat="1" x14ac:dyDescent="0.25">
      <c r="B295" s="110"/>
      <c r="C295" s="111"/>
      <c r="D295" s="45" t="str">
        <f>Basisgegevens!$D$114</f>
        <v>trottoirband 130/150x250</v>
      </c>
      <c r="E295" s="85"/>
      <c r="F295" s="85"/>
      <c r="G295" s="85"/>
      <c r="H295" s="100" t="s">
        <v>168</v>
      </c>
      <c r="I295" s="87">
        <v>1</v>
      </c>
      <c r="J295" s="9"/>
      <c r="K295" s="87">
        <f>S290</f>
        <v>0</v>
      </c>
      <c r="L295" s="86"/>
      <c r="M295" s="98">
        <f>Basisgegevens!$M$114</f>
        <v>10</v>
      </c>
      <c r="N295" s="86"/>
      <c r="O295" s="81">
        <f>M295*K295</f>
        <v>0</v>
      </c>
      <c r="P295" s="112"/>
      <c r="R295" s="58" t="s">
        <v>364</v>
      </c>
      <c r="S295" s="58" t="str">
        <f>D304</f>
        <v>schraalbeton</v>
      </c>
      <c r="T295" s="1"/>
    </row>
    <row r="296" spans="2:20" customFormat="1" x14ac:dyDescent="0.25">
      <c r="B296" s="110"/>
      <c r="C296" s="111"/>
      <c r="D296" s="86" t="s">
        <v>204</v>
      </c>
      <c r="E296" s="85"/>
      <c r="F296" s="85"/>
      <c r="G296" s="85"/>
      <c r="H296" s="100"/>
      <c r="I296" s="90"/>
      <c r="J296" s="9"/>
      <c r="K296" s="87"/>
      <c r="L296" s="86"/>
      <c r="M296" s="98"/>
      <c r="N296" s="86"/>
      <c r="O296" s="81"/>
      <c r="P296" s="112"/>
      <c r="R296" s="109">
        <v>3</v>
      </c>
      <c r="S296" s="96">
        <f>K273/2/55*1</f>
        <v>0</v>
      </c>
      <c r="T296" s="118">
        <v>1</v>
      </c>
    </row>
    <row r="297" spans="2:20" customFormat="1" x14ac:dyDescent="0.25">
      <c r="B297" s="110"/>
      <c r="C297" s="111"/>
      <c r="D297" s="45" t="str">
        <f>Basisgegevens!$D$99</f>
        <v>bss KF heide paars, dik 80</v>
      </c>
      <c r="E297" s="85"/>
      <c r="F297" s="85"/>
      <c r="G297" s="85"/>
      <c r="H297" s="100" t="s">
        <v>208</v>
      </c>
      <c r="I297" s="90">
        <v>1</v>
      </c>
      <c r="J297" s="9"/>
      <c r="K297" s="87">
        <f>S294</f>
        <v>0</v>
      </c>
      <c r="L297" s="86"/>
      <c r="M297" s="88">
        <f>Basisgegevens!$M$99</f>
        <v>250</v>
      </c>
      <c r="N297" s="86"/>
      <c r="O297" s="81">
        <f>K297*M297</f>
        <v>0</v>
      </c>
      <c r="P297" s="112"/>
      <c r="R297" s="17">
        <v>2</v>
      </c>
      <c r="S297" s="96">
        <f>K273/2/55*0.15</f>
        <v>0</v>
      </c>
      <c r="T297" s="118">
        <v>0.15</v>
      </c>
    </row>
    <row r="298" spans="2:20" customFormat="1" x14ac:dyDescent="0.25">
      <c r="B298" s="110"/>
      <c r="C298" s="111"/>
      <c r="D298" s="86" t="s">
        <v>191</v>
      </c>
      <c r="E298" s="85"/>
      <c r="F298" s="85"/>
      <c r="G298" s="85"/>
      <c r="H298" s="100" t="s">
        <v>29</v>
      </c>
      <c r="I298" s="90"/>
      <c r="J298" s="9"/>
      <c r="K298" s="87"/>
      <c r="L298" s="86"/>
      <c r="M298" s="88"/>
      <c r="N298" s="86"/>
      <c r="O298" s="81"/>
      <c r="P298" s="112"/>
      <c r="R298" t="s">
        <v>365</v>
      </c>
      <c r="S298" s="126">
        <f>VLOOKUP(Input!$R$14,R296:S297,2,0)</f>
        <v>0</v>
      </c>
      <c r="T298" s="1"/>
    </row>
    <row r="299" spans="2:20" customFormat="1" x14ac:dyDescent="0.25">
      <c r="B299" s="110"/>
      <c r="C299" s="111"/>
      <c r="D299" s="11" t="str">
        <f>Basisgegevens!$D$14</f>
        <v>stratenmaker</v>
      </c>
      <c r="E299" s="85"/>
      <c r="F299" s="85"/>
      <c r="G299" s="85"/>
      <c r="H299" s="86" t="s">
        <v>111</v>
      </c>
      <c r="I299" s="87">
        <v>10</v>
      </c>
      <c r="J299" s="9"/>
      <c r="K299" s="87">
        <f>K273/2*0.4/I299</f>
        <v>0</v>
      </c>
      <c r="L299" s="86"/>
      <c r="M299" s="98">
        <f>Basisgegevens!$M$14</f>
        <v>38</v>
      </c>
      <c r="N299" s="86"/>
      <c r="O299" s="81">
        <f>M299*K299</f>
        <v>0</v>
      </c>
      <c r="P299" s="112"/>
      <c r="R299" s="58" t="s">
        <v>364</v>
      </c>
      <c r="S299" s="58" t="str">
        <f>D306</f>
        <v>bss KF heide paars, dik 80</v>
      </c>
      <c r="T299" s="1"/>
    </row>
    <row r="300" spans="2:20" customFormat="1" x14ac:dyDescent="0.25">
      <c r="B300" s="110"/>
      <c r="C300" s="111"/>
      <c r="D300" s="11" t="str">
        <f>Basisgegevens!$D$14</f>
        <v>stratenmaker</v>
      </c>
      <c r="E300" s="85"/>
      <c r="F300" s="85"/>
      <c r="G300" s="85"/>
      <c r="H300" s="86" t="s">
        <v>111</v>
      </c>
      <c r="I300" s="87">
        <v>10</v>
      </c>
      <c r="J300" s="9"/>
      <c r="K300" s="87">
        <f>K273/2*0.4/I300</f>
        <v>0</v>
      </c>
      <c r="L300" s="86"/>
      <c r="M300" s="98">
        <f>Basisgegevens!$M$14</f>
        <v>38</v>
      </c>
      <c r="N300" s="86"/>
      <c r="O300" s="81">
        <f>M300*K300</f>
        <v>0</v>
      </c>
      <c r="P300" s="112"/>
      <c r="R300" s="109">
        <v>3</v>
      </c>
      <c r="S300" s="96">
        <f>(K273/2/1000*5*3*1)</f>
        <v>0</v>
      </c>
      <c r="T300" s="118">
        <v>1</v>
      </c>
    </row>
    <row r="301" spans="2:20" customFormat="1" x14ac:dyDescent="0.25">
      <c r="B301" s="110"/>
      <c r="C301" s="111"/>
      <c r="D301" s="45" t="str">
        <f>Basisgegevens!$D$13</f>
        <v>grondwerker</v>
      </c>
      <c r="E301" s="85"/>
      <c r="F301" s="85"/>
      <c r="G301" s="85"/>
      <c r="H301" s="100" t="s">
        <v>111</v>
      </c>
      <c r="I301" s="87">
        <v>10</v>
      </c>
      <c r="J301" s="9"/>
      <c r="K301" s="87">
        <f>K273/2*0.4/I301</f>
        <v>0</v>
      </c>
      <c r="L301" s="86"/>
      <c r="M301" s="98">
        <f>Basisgegevens!$M$13</f>
        <v>35</v>
      </c>
      <c r="N301" s="86"/>
      <c r="O301" s="81">
        <f>M301*K301</f>
        <v>0</v>
      </c>
      <c r="P301" s="112"/>
      <c r="R301" s="17">
        <v>2</v>
      </c>
      <c r="S301" s="96">
        <f>(K273/2/1000*5*3*0.15)</f>
        <v>0</v>
      </c>
      <c r="T301" s="118">
        <v>0.15</v>
      </c>
    </row>
    <row r="302" spans="2:20" customFormat="1" x14ac:dyDescent="0.25">
      <c r="B302" s="110"/>
      <c r="C302" s="111"/>
      <c r="D302" s="11" t="str">
        <f>Basisgegevens!$D$38</f>
        <v>wiellaadschop 1 m³</v>
      </c>
      <c r="E302" s="85"/>
      <c r="F302" s="85"/>
      <c r="G302" s="85"/>
      <c r="H302" s="86" t="s">
        <v>111</v>
      </c>
      <c r="I302" s="87">
        <v>100</v>
      </c>
      <c r="J302" s="9"/>
      <c r="K302" s="87">
        <f>K273/2*0.4/I302</f>
        <v>0</v>
      </c>
      <c r="L302" s="86"/>
      <c r="M302" s="98">
        <f>Basisgegevens!$M$38</f>
        <v>67.5</v>
      </c>
      <c r="N302" s="86"/>
      <c r="O302" s="81">
        <f>K302*M302</f>
        <v>0</v>
      </c>
      <c r="P302" s="112"/>
      <c r="R302" t="s">
        <v>365</v>
      </c>
      <c r="S302" s="126">
        <f>VLOOKUP(Input!$R$14,R300:S301,2,0)</f>
        <v>0</v>
      </c>
      <c r="T302" s="1"/>
    </row>
    <row r="303" spans="2:20" customFormat="1" x14ac:dyDescent="0.25">
      <c r="B303" s="110"/>
      <c r="C303" s="111"/>
      <c r="D303" s="10" t="s">
        <v>215</v>
      </c>
      <c r="E303" s="85"/>
      <c r="F303" s="85"/>
      <c r="G303" s="85"/>
      <c r="H303" s="86"/>
      <c r="I303" s="87"/>
      <c r="J303" s="9"/>
      <c r="K303" s="87"/>
      <c r="L303" s="86"/>
      <c r="M303" s="98"/>
      <c r="N303" s="86"/>
      <c r="O303" s="81"/>
      <c r="P303" s="112"/>
      <c r="R303" s="17"/>
      <c r="S303" s="96"/>
      <c r="T303" s="118"/>
    </row>
    <row r="304" spans="2:20" customFormat="1" x14ac:dyDescent="0.25">
      <c r="B304" s="110"/>
      <c r="C304" s="111"/>
      <c r="D304" s="11" t="str">
        <f>Basisgegevens!$D$90</f>
        <v>schraalbeton</v>
      </c>
      <c r="E304" s="85"/>
      <c r="F304" s="85"/>
      <c r="G304" s="85"/>
      <c r="H304" s="86" t="s">
        <v>168</v>
      </c>
      <c r="I304" s="87">
        <v>1</v>
      </c>
      <c r="J304" s="9"/>
      <c r="K304" s="87">
        <f>S298</f>
        <v>0</v>
      </c>
      <c r="L304" s="86"/>
      <c r="M304" s="98">
        <f>Basisgegevens!$M$90</f>
        <v>38</v>
      </c>
      <c r="N304" s="86"/>
      <c r="O304" s="81">
        <f>K304*M304</f>
        <v>0</v>
      </c>
      <c r="P304" s="112"/>
      <c r="R304" s="17"/>
      <c r="S304" s="96"/>
      <c r="T304" s="118"/>
    </row>
    <row r="305" spans="2:20" customFormat="1" x14ac:dyDescent="0.25">
      <c r="B305" s="110"/>
      <c r="C305" s="111"/>
      <c r="D305" s="86" t="s">
        <v>204</v>
      </c>
      <c r="E305" s="85"/>
      <c r="F305" s="85"/>
      <c r="G305" s="85"/>
      <c r="H305" s="100"/>
      <c r="I305" s="90"/>
      <c r="J305" s="9"/>
      <c r="K305" s="87"/>
      <c r="L305" s="86"/>
      <c r="M305" s="98"/>
      <c r="N305" s="86"/>
      <c r="O305" s="81"/>
      <c r="P305" s="112"/>
      <c r="R305" s="17"/>
      <c r="S305" s="96"/>
      <c r="T305" s="118"/>
    </row>
    <row r="306" spans="2:20" customFormat="1" x14ac:dyDescent="0.25">
      <c r="B306" s="110"/>
      <c r="C306" s="111"/>
      <c r="D306" s="45" t="str">
        <f>Basisgegevens!$D$99</f>
        <v>bss KF heide paars, dik 80</v>
      </c>
      <c r="E306" s="85"/>
      <c r="F306" s="85"/>
      <c r="G306" s="85"/>
      <c r="H306" s="100" t="s">
        <v>208</v>
      </c>
      <c r="I306" s="90">
        <v>1</v>
      </c>
      <c r="J306" s="9"/>
      <c r="K306" s="87">
        <f>S302</f>
        <v>0</v>
      </c>
      <c r="L306" s="86"/>
      <c r="M306" s="88">
        <f>Basisgegevens!$M$99</f>
        <v>250</v>
      </c>
      <c r="N306" s="86"/>
      <c r="O306" s="81">
        <f>K306*M306</f>
        <v>0</v>
      </c>
      <c r="P306" s="112"/>
      <c r="R306" s="17"/>
      <c r="S306" s="96"/>
      <c r="T306" s="118"/>
    </row>
    <row r="307" spans="2:20" x14ac:dyDescent="0.25">
      <c r="B307" s="73"/>
      <c r="C307" s="83"/>
      <c r="D307" s="83" t="s">
        <v>22</v>
      </c>
      <c r="E307" s="83"/>
      <c r="F307" s="83"/>
      <c r="G307" s="83"/>
      <c r="H307" s="83" t="str">
        <f>H273</f>
        <v>m2</v>
      </c>
      <c r="I307" s="80"/>
      <c r="J307" s="83"/>
      <c r="K307" s="80">
        <f>K273</f>
        <v>0</v>
      </c>
      <c r="L307" s="83"/>
      <c r="M307" s="103" t="e">
        <f>O307/K273</f>
        <v>#DIV/0!</v>
      </c>
      <c r="N307" s="83"/>
      <c r="O307" s="103">
        <f>SUM(O274:O306)</f>
        <v>0</v>
      </c>
      <c r="P307" s="104"/>
      <c r="Q307"/>
      <c r="R307"/>
      <c r="S307" s="126"/>
    </row>
    <row r="308" spans="2:20" ht="5.0999999999999996" customHeight="1" thickBot="1" x14ac:dyDescent="0.3">
      <c r="B308" s="12"/>
      <c r="C308" s="13"/>
      <c r="D308" s="13"/>
      <c r="E308" s="13"/>
      <c r="F308" s="13"/>
      <c r="G308" s="13"/>
      <c r="H308" s="13"/>
      <c r="I308" s="15"/>
      <c r="J308" s="13"/>
      <c r="K308" s="15"/>
      <c r="L308" s="13"/>
      <c r="M308" s="13"/>
      <c r="N308" s="13"/>
      <c r="O308" s="13"/>
      <c r="P308" s="14"/>
      <c r="Q308"/>
    </row>
    <row r="309" spans="2:20" ht="30" customHeight="1" thickBot="1" x14ac:dyDescent="0.3"/>
    <row r="310" spans="2:20" ht="5.0999999999999996" customHeight="1" x14ac:dyDescent="0.25">
      <c r="B310" s="3"/>
      <c r="C310" s="4"/>
      <c r="D310" s="4"/>
      <c r="E310" s="4"/>
      <c r="F310" s="4"/>
      <c r="G310" s="4"/>
      <c r="H310" s="55"/>
      <c r="I310" s="4"/>
      <c r="J310" s="4"/>
      <c r="K310" s="4"/>
      <c r="L310" s="4"/>
      <c r="M310" s="4"/>
      <c r="N310" s="4"/>
      <c r="O310" s="4"/>
      <c r="P310" s="5"/>
      <c r="Q310"/>
    </row>
    <row r="311" spans="2:20" x14ac:dyDescent="0.25">
      <c r="B311" s="34"/>
      <c r="C311" s="94"/>
      <c r="D311" s="36"/>
      <c r="E311" s="36"/>
      <c r="F311" s="36"/>
      <c r="G311" s="36"/>
      <c r="H311" s="36"/>
      <c r="I311" s="44"/>
      <c r="J311" s="36"/>
      <c r="K311" s="44"/>
      <c r="L311" s="36"/>
      <c r="M311" s="36"/>
      <c r="N311" s="36"/>
      <c r="O311" s="36"/>
      <c r="P311" s="37"/>
      <c r="Q311"/>
    </row>
    <row r="312" spans="2:20" x14ac:dyDescent="0.25">
      <c r="B312" s="34"/>
      <c r="C312" s="35" t="s">
        <v>399</v>
      </c>
      <c r="D312" s="36"/>
      <c r="E312" s="36"/>
      <c r="F312" s="36"/>
      <c r="G312" s="36"/>
      <c r="H312"/>
      <c r="I312" s="44"/>
      <c r="J312"/>
      <c r="K312" s="44"/>
      <c r="L312" s="36"/>
      <c r="O312" s="71" t="s">
        <v>62</v>
      </c>
      <c r="P312" s="37"/>
      <c r="Q312"/>
      <c r="R312" s="105" t="s">
        <v>137</v>
      </c>
    </row>
    <row r="313" spans="2:20" ht="15.75" thickBot="1" x14ac:dyDescent="0.3">
      <c r="B313" s="68"/>
      <c r="C313" s="48" t="s">
        <v>56</v>
      </c>
      <c r="D313" s="48" t="s">
        <v>55</v>
      </c>
      <c r="E313" s="50"/>
      <c r="F313" s="48"/>
      <c r="G313" s="48"/>
      <c r="H313" s="48" t="s">
        <v>107</v>
      </c>
      <c r="I313" s="78" t="s">
        <v>108</v>
      </c>
      <c r="J313" s="69"/>
      <c r="K313" s="82" t="s">
        <v>110</v>
      </c>
      <c r="L313" s="48"/>
      <c r="M313" s="48" t="s">
        <v>109</v>
      </c>
      <c r="N313" s="48"/>
      <c r="O313" s="48" t="s">
        <v>19</v>
      </c>
      <c r="P313" s="70"/>
      <c r="Q313"/>
      <c r="R313" t="s">
        <v>414</v>
      </c>
    </row>
    <row r="314" spans="2:20" x14ac:dyDescent="0.25">
      <c r="B314" s="84"/>
      <c r="C314" s="85"/>
      <c r="D314" s="86" t="s">
        <v>245</v>
      </c>
      <c r="E314" s="85"/>
      <c r="F314" s="85"/>
      <c r="G314" s="85"/>
      <c r="H314" s="86" t="s">
        <v>59</v>
      </c>
      <c r="I314" s="89"/>
      <c r="J314" s="9"/>
      <c r="K314" s="87">
        <f>Input!$G$48</f>
        <v>0</v>
      </c>
      <c r="L314" s="86"/>
      <c r="M314" s="86"/>
      <c r="N314" s="86"/>
      <c r="O314" s="86"/>
      <c r="P314" s="99"/>
      <c r="Q314"/>
      <c r="R314" t="s">
        <v>400</v>
      </c>
    </row>
    <row r="315" spans="2:20" x14ac:dyDescent="0.25">
      <c r="B315" s="84"/>
      <c r="C315" s="85"/>
      <c r="D315" s="11" t="str">
        <f>Basisgegevens!$D$50</f>
        <v xml:space="preserve">asfaltspreidmachine 0,80 m - 2,50 m, incl. machinist en balkman </v>
      </c>
      <c r="E315" s="85"/>
      <c r="F315" s="85"/>
      <c r="G315" s="85"/>
      <c r="H315" s="86" t="s">
        <v>111</v>
      </c>
      <c r="I315" s="87">
        <v>80</v>
      </c>
      <c r="J315" s="9"/>
      <c r="K315" s="79">
        <f>$K$314/I315</f>
        <v>0</v>
      </c>
      <c r="L315" s="86"/>
      <c r="M315" s="98">
        <f>Basisgegevens!$M$50</f>
        <v>310</v>
      </c>
      <c r="N315" s="86"/>
      <c r="O315" s="81">
        <f>M315*K315</f>
        <v>0</v>
      </c>
      <c r="P315" s="99"/>
      <c r="Q315"/>
      <c r="R315" s="66" t="s">
        <v>401</v>
      </c>
    </row>
    <row r="316" spans="2:20" customFormat="1" x14ac:dyDescent="0.25">
      <c r="B316" s="84"/>
      <c r="C316" s="85"/>
      <c r="D316" s="11" t="str">
        <f>Basisgegevens!$D$35</f>
        <v>hydraulische kraan 800 liter</v>
      </c>
      <c r="E316" s="85"/>
      <c r="F316" s="85"/>
      <c r="G316" s="85"/>
      <c r="H316" s="86" t="s">
        <v>111</v>
      </c>
      <c r="I316" s="87">
        <v>80</v>
      </c>
      <c r="J316" s="9"/>
      <c r="K316" s="79">
        <f>$K$314/I316</f>
        <v>0</v>
      </c>
      <c r="L316" s="86"/>
      <c r="M316" s="98">
        <f>Basisgegevens!$M$35</f>
        <v>60</v>
      </c>
      <c r="N316" s="86"/>
      <c r="O316" s="81">
        <f>M316*K316</f>
        <v>0</v>
      </c>
      <c r="P316" s="99"/>
      <c r="R316" s="66" t="s">
        <v>237</v>
      </c>
    </row>
    <row r="317" spans="2:20" customFormat="1" x14ac:dyDescent="0.25">
      <c r="B317" s="84"/>
      <c r="C317" s="85"/>
      <c r="D317" s="11" t="str">
        <f>Basisgegevens!$D$52</f>
        <v>drierolwals 9000 kg</v>
      </c>
      <c r="E317" s="85"/>
      <c r="F317" s="85"/>
      <c r="G317" s="85"/>
      <c r="H317" s="86" t="s">
        <v>111</v>
      </c>
      <c r="I317" s="87">
        <v>80</v>
      </c>
      <c r="J317" s="9"/>
      <c r="K317" s="79">
        <f>$K$314/I317</f>
        <v>0</v>
      </c>
      <c r="L317" s="86"/>
      <c r="M317" s="98">
        <f>Basisgegevens!$M$52</f>
        <v>185</v>
      </c>
      <c r="N317" s="86"/>
      <c r="O317" s="81">
        <f>M317*K317</f>
        <v>0</v>
      </c>
      <c r="P317" s="99"/>
      <c r="R317" s="66" t="s">
        <v>243</v>
      </c>
    </row>
    <row r="318" spans="2:20" customFormat="1" x14ac:dyDescent="0.25">
      <c r="B318" s="84"/>
      <c r="C318" s="85"/>
      <c r="D318" s="45" t="str">
        <f>Basisgegevens!$D$15</f>
        <v>asfaltverwerker</v>
      </c>
      <c r="E318" s="85"/>
      <c r="F318" s="85"/>
      <c r="G318" s="85"/>
      <c r="H318" s="86" t="s">
        <v>111</v>
      </c>
      <c r="I318" s="87">
        <v>80</v>
      </c>
      <c r="J318" s="9"/>
      <c r="K318" s="79">
        <f>$K$314/I318</f>
        <v>0</v>
      </c>
      <c r="L318" s="86"/>
      <c r="M318" s="98">
        <f>Basisgegevens!$M$15</f>
        <v>35</v>
      </c>
      <c r="N318" s="86"/>
      <c r="O318" s="81">
        <f>M318*K318</f>
        <v>0</v>
      </c>
      <c r="P318" s="99"/>
      <c r="R318" s="66" t="s">
        <v>263</v>
      </c>
    </row>
    <row r="319" spans="2:20" customFormat="1" x14ac:dyDescent="0.25">
      <c r="B319" s="84"/>
      <c r="C319" s="85"/>
      <c r="D319" s="45" t="str">
        <f>Basisgegevens!$D$15</f>
        <v>asfaltverwerker</v>
      </c>
      <c r="E319" s="85"/>
      <c r="F319" s="85"/>
      <c r="G319" s="85"/>
      <c r="H319" s="86" t="s">
        <v>111</v>
      </c>
      <c r="I319" s="87">
        <v>80</v>
      </c>
      <c r="J319" s="9"/>
      <c r="K319" s="79">
        <f>$K$314/I319</f>
        <v>0</v>
      </c>
      <c r="L319" s="86"/>
      <c r="M319" s="98">
        <f>Basisgegevens!$M$15</f>
        <v>35</v>
      </c>
      <c r="N319" s="86"/>
      <c r="O319" s="81">
        <f>M319*K319</f>
        <v>0</v>
      </c>
      <c r="P319" s="99"/>
      <c r="R319" s="1" t="s">
        <v>272</v>
      </c>
    </row>
    <row r="320" spans="2:20" customFormat="1" x14ac:dyDescent="0.25">
      <c r="B320" s="84"/>
      <c r="C320" s="85"/>
      <c r="D320" s="10" t="s">
        <v>235</v>
      </c>
      <c r="E320" s="85"/>
      <c r="F320" s="85"/>
      <c r="G320" s="85"/>
      <c r="H320" s="86"/>
      <c r="I320" s="87"/>
      <c r="J320" s="9"/>
      <c r="K320" s="87"/>
      <c r="L320" s="86"/>
      <c r="M320" s="98"/>
      <c r="N320" s="86"/>
      <c r="O320" s="81"/>
      <c r="P320" s="99"/>
      <c r="R320" s="66" t="s">
        <v>405</v>
      </c>
    </row>
    <row r="321" spans="2:16" customFormat="1" x14ac:dyDescent="0.25">
      <c r="B321" s="84"/>
      <c r="C321" s="85"/>
      <c r="D321" s="11" t="str">
        <f>Basisgegevens!$D$116</f>
        <v>STAB 0/22 vk 3</v>
      </c>
      <c r="E321" s="85"/>
      <c r="F321" s="85"/>
      <c r="G321" s="85"/>
      <c r="H321" s="86" t="s">
        <v>168</v>
      </c>
      <c r="I321" s="87">
        <v>1</v>
      </c>
      <c r="J321" s="9"/>
      <c r="K321" s="87">
        <f>K314*0.06*2.25</f>
        <v>0</v>
      </c>
      <c r="L321" s="86"/>
      <c r="M321" s="98">
        <f>Basisgegevens!$M$116</f>
        <v>45</v>
      </c>
      <c r="N321" s="86"/>
      <c r="O321" s="81">
        <f>M321*K321</f>
        <v>0</v>
      </c>
      <c r="P321" s="99"/>
    </row>
    <row r="322" spans="2:16" customFormat="1" x14ac:dyDescent="0.25">
      <c r="B322" s="84"/>
      <c r="C322" s="85"/>
      <c r="D322" s="10" t="s">
        <v>239</v>
      </c>
      <c r="E322" s="85"/>
      <c r="F322" s="85"/>
      <c r="G322" s="85"/>
      <c r="H322" s="86"/>
      <c r="I322" s="87"/>
      <c r="J322" s="9"/>
      <c r="K322" s="87"/>
      <c r="L322" s="86"/>
      <c r="M322" s="98"/>
      <c r="N322" s="86"/>
      <c r="O322" s="81"/>
      <c r="P322" s="99"/>
    </row>
    <row r="323" spans="2:16" customFormat="1" x14ac:dyDescent="0.25">
      <c r="B323" s="84"/>
      <c r="C323" s="85"/>
      <c r="D323" s="11" t="str">
        <f>Basisgegevens!$D$53</f>
        <v>vrachtauto 8x4, geïsoleerd 20 ton</v>
      </c>
      <c r="E323" s="85"/>
      <c r="F323" s="85"/>
      <c r="G323" s="85"/>
      <c r="H323" s="86" t="s">
        <v>111</v>
      </c>
      <c r="I323" s="87">
        <v>10</v>
      </c>
      <c r="J323" s="9"/>
      <c r="K323" s="87">
        <f>K321/10</f>
        <v>0</v>
      </c>
      <c r="L323" s="86"/>
      <c r="M323" s="98">
        <f>Basisgegevens!$M$53</f>
        <v>60</v>
      </c>
      <c r="N323" s="86"/>
      <c r="O323" s="81">
        <f>M323*K323</f>
        <v>0</v>
      </c>
      <c r="P323" s="99"/>
    </row>
    <row r="324" spans="2:16" customFormat="1" x14ac:dyDescent="0.25">
      <c r="B324" s="84"/>
      <c r="C324" s="85"/>
      <c r="D324" s="10" t="s">
        <v>247</v>
      </c>
      <c r="E324" s="85"/>
      <c r="F324" s="85"/>
      <c r="G324" s="85"/>
      <c r="H324" s="86"/>
      <c r="I324" s="87"/>
      <c r="J324" s="9"/>
      <c r="K324" s="87"/>
      <c r="L324" s="86"/>
      <c r="M324" s="98"/>
      <c r="N324" s="86"/>
      <c r="O324" s="81"/>
      <c r="P324" s="99"/>
    </row>
    <row r="325" spans="2:16" customFormat="1" x14ac:dyDescent="0.25">
      <c r="B325" s="84"/>
      <c r="C325" s="85"/>
      <c r="D325" s="11" t="str">
        <f>Basisgegevens!$D$54</f>
        <v>veeg/zuigauto 7 m³</v>
      </c>
      <c r="E325" s="85"/>
      <c r="F325" s="85"/>
      <c r="G325" s="85"/>
      <c r="H325" s="86" t="s">
        <v>111</v>
      </c>
      <c r="I325" s="87">
        <v>75</v>
      </c>
      <c r="J325" s="9"/>
      <c r="K325" s="87">
        <f>K314/I325</f>
        <v>0</v>
      </c>
      <c r="L325" s="86"/>
      <c r="M325" s="98">
        <f>Basisgegevens!$M$54</f>
        <v>75</v>
      </c>
      <c r="N325" s="86"/>
      <c r="O325" s="81">
        <f>M325*K325</f>
        <v>0</v>
      </c>
      <c r="P325" s="99"/>
    </row>
    <row r="326" spans="2:16" customFormat="1" x14ac:dyDescent="0.25">
      <c r="B326" s="84"/>
      <c r="C326" s="85"/>
      <c r="D326" s="10" t="s">
        <v>236</v>
      </c>
      <c r="E326" s="85"/>
      <c r="F326" s="85"/>
      <c r="G326" s="85"/>
      <c r="H326" s="86"/>
      <c r="I326" s="87"/>
      <c r="J326" s="9"/>
      <c r="K326" s="87"/>
      <c r="L326" s="86"/>
      <c r="M326" s="98"/>
      <c r="N326" s="86"/>
      <c r="O326" s="81"/>
      <c r="P326" s="99"/>
    </row>
    <row r="327" spans="2:16" customFormat="1" x14ac:dyDescent="0.25">
      <c r="B327" s="84"/>
      <c r="C327" s="85"/>
      <c r="D327" s="11" t="str">
        <f>Basisgegevens!$D$55</f>
        <v>sproeiwagen</v>
      </c>
      <c r="E327" s="85"/>
      <c r="F327" s="85"/>
      <c r="G327" s="85"/>
      <c r="H327" s="86" t="s">
        <v>111</v>
      </c>
      <c r="I327" s="87">
        <v>250</v>
      </c>
      <c r="J327" s="9"/>
      <c r="K327" s="87">
        <f>K314/I327</f>
        <v>0</v>
      </c>
      <c r="L327" s="86"/>
      <c r="M327" s="98">
        <f>Basisgegevens!$M$55</f>
        <v>80</v>
      </c>
      <c r="N327" s="86"/>
      <c r="O327" s="81">
        <f>M327*K327</f>
        <v>0</v>
      </c>
      <c r="P327" s="99"/>
    </row>
    <row r="328" spans="2:16" customFormat="1" x14ac:dyDescent="0.25">
      <c r="B328" s="84"/>
      <c r="C328" s="85"/>
      <c r="D328" s="10" t="s">
        <v>234</v>
      </c>
      <c r="E328" s="85"/>
      <c r="F328" s="85"/>
      <c r="G328" s="85"/>
      <c r="H328" s="86"/>
      <c r="I328" s="87"/>
      <c r="J328" s="9"/>
      <c r="K328" s="87"/>
      <c r="L328" s="86"/>
      <c r="M328" s="98"/>
      <c r="N328" s="86"/>
      <c r="O328" s="81"/>
      <c r="P328" s="99"/>
    </row>
    <row r="329" spans="2:16" customFormat="1" x14ac:dyDescent="0.25">
      <c r="B329" s="84"/>
      <c r="C329" s="85"/>
      <c r="D329" s="45" t="str">
        <f>Basisgegevens!$D$120</f>
        <v>emulsie kleef</v>
      </c>
      <c r="E329" s="85"/>
      <c r="F329" s="85"/>
      <c r="G329" s="85"/>
      <c r="H329" s="100" t="s">
        <v>168</v>
      </c>
      <c r="I329" s="87">
        <v>1</v>
      </c>
      <c r="J329" s="9"/>
      <c r="K329" s="87">
        <f>K314*0.2/1000</f>
        <v>0</v>
      </c>
      <c r="L329" s="86"/>
      <c r="M329" s="98">
        <f>Basisgegevens!$M$120</f>
        <v>310</v>
      </c>
      <c r="N329" s="86"/>
      <c r="O329" s="81">
        <f>M329*K329</f>
        <v>0</v>
      </c>
      <c r="P329" s="99"/>
    </row>
    <row r="330" spans="2:16" customFormat="1" x14ac:dyDescent="0.25">
      <c r="B330" s="84"/>
      <c r="C330" s="85"/>
      <c r="D330" s="86" t="s">
        <v>249</v>
      </c>
      <c r="E330" s="85"/>
      <c r="F330" s="85"/>
      <c r="G330" s="85"/>
      <c r="H330" s="86" t="s">
        <v>59</v>
      </c>
      <c r="I330" s="89"/>
      <c r="J330" s="9"/>
      <c r="K330" s="87"/>
      <c r="L330" s="86"/>
      <c r="M330" s="86"/>
      <c r="N330" s="86"/>
      <c r="O330" s="86"/>
      <c r="P330" s="99"/>
    </row>
    <row r="331" spans="2:16" customFormat="1" x14ac:dyDescent="0.25">
      <c r="B331" s="84"/>
      <c r="C331" s="85"/>
      <c r="D331" s="11" t="str">
        <f>Basisgegevens!$D$50</f>
        <v xml:space="preserve">asfaltspreidmachine 0,80 m - 2,50 m, incl. machinist en balkman </v>
      </c>
      <c r="E331" s="85"/>
      <c r="F331" s="85"/>
      <c r="G331" s="85"/>
      <c r="H331" s="86" t="s">
        <v>111</v>
      </c>
      <c r="I331" s="87">
        <v>80</v>
      </c>
      <c r="J331" s="9"/>
      <c r="K331" s="79">
        <f>$K$314/I331</f>
        <v>0</v>
      </c>
      <c r="L331" s="86"/>
      <c r="M331" s="98">
        <f>Basisgegevens!$M$50</f>
        <v>310</v>
      </c>
      <c r="N331" s="86"/>
      <c r="O331" s="81">
        <f>M331*K331</f>
        <v>0</v>
      </c>
      <c r="P331" s="99"/>
    </row>
    <row r="332" spans="2:16" customFormat="1" x14ac:dyDescent="0.25">
      <c r="B332" s="84"/>
      <c r="C332" s="85"/>
      <c r="D332" s="11" t="str">
        <f>Basisgegevens!$D$52</f>
        <v>drierolwals 9000 kg</v>
      </c>
      <c r="E332" s="85"/>
      <c r="F332" s="85"/>
      <c r="G332" s="85"/>
      <c r="H332" s="86" t="s">
        <v>111</v>
      </c>
      <c r="I332" s="87">
        <v>80</v>
      </c>
      <c r="J332" s="9"/>
      <c r="K332" s="79">
        <f>$K$314/I332</f>
        <v>0</v>
      </c>
      <c r="L332" s="86"/>
      <c r="M332" s="98">
        <f>Basisgegevens!$M$52</f>
        <v>185</v>
      </c>
      <c r="N332" s="86"/>
      <c r="O332" s="81">
        <f>M332*K332</f>
        <v>0</v>
      </c>
      <c r="P332" s="99"/>
    </row>
    <row r="333" spans="2:16" customFormat="1" x14ac:dyDescent="0.25">
      <c r="B333" s="84"/>
      <c r="C333" s="85"/>
      <c r="D333" s="45" t="str">
        <f>Basisgegevens!$D$15</f>
        <v>asfaltverwerker</v>
      </c>
      <c r="E333" s="85"/>
      <c r="F333" s="85"/>
      <c r="G333" s="85"/>
      <c r="H333" s="86" t="s">
        <v>111</v>
      </c>
      <c r="I333" s="87">
        <v>80</v>
      </c>
      <c r="J333" s="9"/>
      <c r="K333" s="79">
        <f>$K$314/I333</f>
        <v>0</v>
      </c>
      <c r="L333" s="86"/>
      <c r="M333" s="98">
        <f>Basisgegevens!$M$15</f>
        <v>35</v>
      </c>
      <c r="N333" s="86"/>
      <c r="O333" s="81">
        <f>M333*K333</f>
        <v>0</v>
      </c>
      <c r="P333" s="99"/>
    </row>
    <row r="334" spans="2:16" customFormat="1" x14ac:dyDescent="0.25">
      <c r="B334" s="84"/>
      <c r="C334" s="85"/>
      <c r="D334" s="45" t="str">
        <f>Basisgegevens!$D$15</f>
        <v>asfaltverwerker</v>
      </c>
      <c r="E334" s="85"/>
      <c r="F334" s="85"/>
      <c r="G334" s="85"/>
      <c r="H334" s="86" t="s">
        <v>111</v>
      </c>
      <c r="I334" s="87">
        <v>80</v>
      </c>
      <c r="J334" s="9"/>
      <c r="K334" s="79">
        <f>$K$314/I334</f>
        <v>0</v>
      </c>
      <c r="L334" s="86"/>
      <c r="M334" s="98">
        <f>Basisgegevens!$M$15</f>
        <v>35</v>
      </c>
      <c r="N334" s="86"/>
      <c r="O334" s="81">
        <f>M334*K334</f>
        <v>0</v>
      </c>
      <c r="P334" s="99"/>
    </row>
    <row r="335" spans="2:16" customFormat="1" x14ac:dyDescent="0.25">
      <c r="B335" s="84"/>
      <c r="C335" s="85"/>
      <c r="D335" s="10" t="s">
        <v>235</v>
      </c>
      <c r="E335" s="85"/>
      <c r="F335" s="85"/>
      <c r="G335" s="85"/>
      <c r="H335" s="86"/>
      <c r="I335" s="87"/>
      <c r="J335" s="9"/>
      <c r="K335" s="87"/>
      <c r="L335" s="86"/>
      <c r="M335" s="98"/>
      <c r="N335" s="86"/>
      <c r="O335" s="81"/>
      <c r="P335" s="99"/>
    </row>
    <row r="336" spans="2:16" customFormat="1" x14ac:dyDescent="0.25">
      <c r="B336" s="84"/>
      <c r="C336" s="85"/>
      <c r="D336" s="11" t="str">
        <f>Basisgegevens!$D$119</f>
        <v>SMA tilrood 0/11 vk 2</v>
      </c>
      <c r="E336" s="85"/>
      <c r="F336" s="85"/>
      <c r="G336" s="85"/>
      <c r="H336" s="86" t="s">
        <v>168</v>
      </c>
      <c r="I336" s="87">
        <v>1</v>
      </c>
      <c r="J336" s="9"/>
      <c r="K336" s="87">
        <f>K314*0.035*2.25</f>
        <v>0</v>
      </c>
      <c r="L336" s="86"/>
      <c r="M336" s="98">
        <f>Basisgegevens!$M$119</f>
        <v>190</v>
      </c>
      <c r="N336" s="86"/>
      <c r="O336" s="81">
        <f>M336*K336</f>
        <v>0</v>
      </c>
      <c r="P336" s="99"/>
    </row>
    <row r="337" spans="2:18" customFormat="1" x14ac:dyDescent="0.25">
      <c r="B337" s="84"/>
      <c r="C337" s="85"/>
      <c r="D337" s="10" t="s">
        <v>239</v>
      </c>
      <c r="E337" s="85"/>
      <c r="F337" s="85"/>
      <c r="G337" s="85"/>
      <c r="H337" s="86"/>
      <c r="I337" s="87"/>
      <c r="J337" s="9"/>
      <c r="K337" s="87"/>
      <c r="L337" s="86"/>
      <c r="M337" s="98"/>
      <c r="N337" s="86"/>
      <c r="O337" s="81"/>
      <c r="P337" s="99"/>
    </row>
    <row r="338" spans="2:18" customFormat="1" x14ac:dyDescent="0.25">
      <c r="B338" s="84"/>
      <c r="C338" s="85"/>
      <c r="D338" s="11" t="str">
        <f>Basisgegevens!$D$53</f>
        <v>vrachtauto 8x4, geïsoleerd 20 ton</v>
      </c>
      <c r="E338" s="85"/>
      <c r="F338" s="85"/>
      <c r="G338" s="85"/>
      <c r="H338" s="86" t="s">
        <v>111</v>
      </c>
      <c r="I338" s="87">
        <v>10</v>
      </c>
      <c r="J338" s="9"/>
      <c r="K338" s="87">
        <f>K336/10</f>
        <v>0</v>
      </c>
      <c r="L338" s="86"/>
      <c r="M338" s="98">
        <f>Basisgegevens!$M$53</f>
        <v>60</v>
      </c>
      <c r="N338" s="86"/>
      <c r="O338" s="81">
        <f>M338*K338</f>
        <v>0</v>
      </c>
      <c r="P338" s="99"/>
    </row>
    <row r="339" spans="2:18" customFormat="1" x14ac:dyDescent="0.25">
      <c r="B339" s="84"/>
      <c r="C339" s="85"/>
      <c r="D339" s="86" t="s">
        <v>254</v>
      </c>
      <c r="E339" s="85"/>
      <c r="F339" s="85"/>
      <c r="G339" s="85"/>
      <c r="H339" s="100"/>
      <c r="I339" s="87"/>
      <c r="J339" s="9"/>
      <c r="K339" s="87"/>
      <c r="L339" s="86"/>
      <c r="M339" s="98"/>
      <c r="N339" s="86"/>
      <c r="O339" s="81"/>
      <c r="P339" s="99"/>
    </row>
    <row r="340" spans="2:18" customFormat="1" x14ac:dyDescent="0.25">
      <c r="B340" s="84"/>
      <c r="C340" s="85"/>
      <c r="D340" s="45" t="str">
        <f>Basisgegevens!$D$18</f>
        <v>landmeetploeg, 2 man incl. materieel</v>
      </c>
      <c r="E340" s="85"/>
      <c r="F340" s="85"/>
      <c r="G340" s="85"/>
      <c r="H340" s="100" t="s">
        <v>111</v>
      </c>
      <c r="I340" s="87">
        <v>275</v>
      </c>
      <c r="J340" s="9"/>
      <c r="K340" s="87">
        <f>K314/I340</f>
        <v>0</v>
      </c>
      <c r="L340" s="86"/>
      <c r="M340" s="98">
        <f>Basisgegevens!$M$18</f>
        <v>110</v>
      </c>
      <c r="N340" s="86"/>
      <c r="O340" s="81">
        <f>M340*K340</f>
        <v>0</v>
      </c>
      <c r="P340" s="99"/>
    </row>
    <row r="341" spans="2:18" customFormat="1" x14ac:dyDescent="0.25">
      <c r="B341" s="84"/>
      <c r="C341" s="85"/>
      <c r="D341" s="86" t="s">
        <v>255</v>
      </c>
      <c r="E341" s="85"/>
      <c r="F341" s="85"/>
      <c r="G341" s="85"/>
      <c r="H341" s="100"/>
      <c r="I341" s="87"/>
      <c r="J341" s="9"/>
      <c r="K341" s="87"/>
      <c r="L341" s="86"/>
      <c r="M341" s="98"/>
      <c r="N341" s="86"/>
      <c r="O341" s="81"/>
      <c r="P341" s="99"/>
    </row>
    <row r="342" spans="2:18" customFormat="1" x14ac:dyDescent="0.25">
      <c r="B342" s="84"/>
      <c r="C342" s="85"/>
      <c r="D342" s="45" t="str">
        <f>Basisgegevens!$D$123</f>
        <v>thermoplast figuratie</v>
      </c>
      <c r="E342" s="85"/>
      <c r="F342" s="85"/>
      <c r="G342" s="85"/>
      <c r="H342" s="100" t="s">
        <v>59</v>
      </c>
      <c r="I342" s="87">
        <v>0.05</v>
      </c>
      <c r="J342" s="9"/>
      <c r="K342" s="87">
        <f>I342*$K$314</f>
        <v>0</v>
      </c>
      <c r="L342" s="86"/>
      <c r="M342" s="98">
        <f>Basisgegevens!$M$123</f>
        <v>45</v>
      </c>
      <c r="N342" s="86"/>
      <c r="O342" s="81">
        <f>M342*K342</f>
        <v>0</v>
      </c>
      <c r="P342" s="99"/>
    </row>
    <row r="343" spans="2:18" customFormat="1" x14ac:dyDescent="0.25">
      <c r="B343" s="84"/>
      <c r="C343" s="85"/>
      <c r="D343" s="86" t="s">
        <v>403</v>
      </c>
      <c r="E343" s="85"/>
      <c r="F343" s="85"/>
      <c r="G343" s="85"/>
      <c r="H343" s="86" t="s">
        <v>135</v>
      </c>
      <c r="I343" s="89"/>
      <c r="J343" s="9"/>
      <c r="K343" s="87"/>
      <c r="L343" s="86"/>
      <c r="M343" s="86"/>
      <c r="N343" s="86"/>
      <c r="O343" s="86"/>
      <c r="P343" s="99"/>
    </row>
    <row r="344" spans="2:18" customFormat="1" x14ac:dyDescent="0.25">
      <c r="B344" s="84"/>
      <c r="C344" s="85"/>
      <c r="D344" s="11" t="str">
        <f>Basisgegevens!$D$14</f>
        <v>stratenmaker</v>
      </c>
      <c r="E344" s="85"/>
      <c r="F344" s="85"/>
      <c r="G344" s="85"/>
      <c r="H344" s="86" t="s">
        <v>111</v>
      </c>
      <c r="I344" s="87">
        <v>20</v>
      </c>
      <c r="J344" s="9"/>
      <c r="K344" s="87">
        <f>$K$349/2*1.74/I344</f>
        <v>0</v>
      </c>
      <c r="L344" s="86"/>
      <c r="M344" s="98">
        <f>Basisgegevens!$M$14</f>
        <v>38</v>
      </c>
      <c r="N344" s="86"/>
      <c r="O344" s="81">
        <f>M344*K344</f>
        <v>0</v>
      </c>
      <c r="P344" s="99"/>
    </row>
    <row r="345" spans="2:18" customFormat="1" x14ac:dyDescent="0.25">
      <c r="B345" s="84"/>
      <c r="C345" s="85"/>
      <c r="D345" s="11" t="str">
        <f>Basisgegevens!$D$14</f>
        <v>stratenmaker</v>
      </c>
      <c r="E345" s="85"/>
      <c r="F345" s="85"/>
      <c r="G345" s="85"/>
      <c r="H345" s="86" t="s">
        <v>111</v>
      </c>
      <c r="I345" s="87">
        <v>20</v>
      </c>
      <c r="J345" s="9"/>
      <c r="K345" s="87">
        <f>$K$349/2*1.74/I345</f>
        <v>0</v>
      </c>
      <c r="L345" s="86"/>
      <c r="M345" s="98">
        <f>Basisgegevens!$M$14</f>
        <v>38</v>
      </c>
      <c r="N345" s="86"/>
      <c r="O345" s="81">
        <f>M345*K345</f>
        <v>0</v>
      </c>
      <c r="P345" s="99"/>
    </row>
    <row r="346" spans="2:18" customFormat="1" x14ac:dyDescent="0.25">
      <c r="B346" s="84"/>
      <c r="C346" s="85"/>
      <c r="D346" s="45" t="str">
        <f>Basisgegevens!$D$13</f>
        <v>grondwerker</v>
      </c>
      <c r="E346" s="85"/>
      <c r="F346" s="85"/>
      <c r="G346" s="85"/>
      <c r="H346" s="100" t="s">
        <v>111</v>
      </c>
      <c r="I346" s="87">
        <v>20</v>
      </c>
      <c r="J346" s="9"/>
      <c r="K346" s="87">
        <f>$K$349/2*1.74/I346</f>
        <v>0</v>
      </c>
      <c r="L346" s="86"/>
      <c r="M346" s="98">
        <f>Basisgegevens!$M$13</f>
        <v>35</v>
      </c>
      <c r="N346" s="86"/>
      <c r="O346" s="81">
        <f>M346*K346</f>
        <v>0</v>
      </c>
      <c r="P346" s="99"/>
    </row>
    <row r="347" spans="2:18" x14ac:dyDescent="0.25">
      <c r="B347" s="84"/>
      <c r="C347" s="85"/>
      <c r="D347" s="11" t="str">
        <f>Basisgegevens!$D$38</f>
        <v>wiellaadschop 1 m³</v>
      </c>
      <c r="E347" s="85"/>
      <c r="F347" s="85"/>
      <c r="G347" s="85"/>
      <c r="H347" s="86" t="s">
        <v>111</v>
      </c>
      <c r="I347" s="87">
        <v>100</v>
      </c>
      <c r="J347" s="9"/>
      <c r="K347" s="87">
        <f>$K$349/2*1.74/I347</f>
        <v>0</v>
      </c>
      <c r="L347" s="86"/>
      <c r="M347" s="98">
        <f>Basisgegevens!$M$38</f>
        <v>67.5</v>
      </c>
      <c r="N347" s="86"/>
      <c r="O347" s="81">
        <f>K347*M347</f>
        <v>0</v>
      </c>
      <c r="P347" s="99"/>
      <c r="Q347"/>
      <c r="R347"/>
    </row>
    <row r="348" spans="2:18" customFormat="1" x14ac:dyDescent="0.25">
      <c r="B348" s="110"/>
      <c r="C348" s="111"/>
      <c r="D348" s="86" t="s">
        <v>402</v>
      </c>
      <c r="E348" s="85"/>
      <c r="F348" s="85"/>
      <c r="G348" s="85"/>
      <c r="H348" s="100"/>
      <c r="I348" s="87"/>
      <c r="J348" s="9"/>
      <c r="K348" s="87"/>
      <c r="L348" s="86"/>
      <c r="M348" s="98"/>
      <c r="N348" s="86"/>
      <c r="O348" s="81"/>
      <c r="P348" s="112"/>
    </row>
    <row r="349" spans="2:18" customFormat="1" x14ac:dyDescent="0.25">
      <c r="B349" s="110"/>
      <c r="C349" s="111"/>
      <c r="D349" s="45" t="str">
        <f>Basisgegevens!$D$113</f>
        <v>opsluitband 80x200</v>
      </c>
      <c r="E349" s="85"/>
      <c r="F349" s="85"/>
      <c r="G349" s="85"/>
      <c r="H349" s="100" t="s">
        <v>135</v>
      </c>
      <c r="I349" s="87">
        <v>1</v>
      </c>
      <c r="J349" s="9"/>
      <c r="K349" s="87">
        <f>K314/1.74</f>
        <v>0</v>
      </c>
      <c r="L349" s="86"/>
      <c r="M349" s="98">
        <f>Basisgegevens!$M$113</f>
        <v>3.75</v>
      </c>
      <c r="N349" s="86"/>
      <c r="O349" s="81">
        <f>M349*K349</f>
        <v>0</v>
      </c>
      <c r="P349" s="112"/>
    </row>
    <row r="350" spans="2:18" customFormat="1" ht="15" customHeight="1" x14ac:dyDescent="0.25">
      <c r="B350" s="73"/>
      <c r="C350" s="83"/>
      <c r="D350" s="83" t="s">
        <v>22</v>
      </c>
      <c r="E350" s="83"/>
      <c r="F350" s="83"/>
      <c r="G350" s="83"/>
      <c r="H350" s="83" t="str">
        <f>H314</f>
        <v>m2</v>
      </c>
      <c r="I350" s="80"/>
      <c r="J350" s="83"/>
      <c r="K350" s="80">
        <f>K314</f>
        <v>0</v>
      </c>
      <c r="L350" s="83"/>
      <c r="M350" s="103" t="e">
        <f>O350/K314</f>
        <v>#DIV/0!</v>
      </c>
      <c r="N350" s="83"/>
      <c r="O350" s="103">
        <f>SUM(O315:O349)</f>
        <v>0</v>
      </c>
      <c r="P350" s="226"/>
    </row>
    <row r="351" spans="2:18" customFormat="1" ht="5.0999999999999996" customHeight="1" thickBot="1" x14ac:dyDescent="0.3">
      <c r="B351" s="6"/>
      <c r="C351" s="10"/>
      <c r="D351" s="10"/>
      <c r="E351" s="10"/>
      <c r="F351" s="10"/>
      <c r="G351" s="10"/>
      <c r="H351" s="10"/>
      <c r="I351" s="79"/>
      <c r="J351" s="10"/>
      <c r="K351" s="79"/>
      <c r="L351" s="10"/>
      <c r="M351" s="81"/>
      <c r="N351" s="10"/>
      <c r="O351" s="81"/>
      <c r="P351" s="112"/>
    </row>
    <row r="352" spans="2:18" ht="30" customHeight="1" thickBot="1" x14ac:dyDescent="0.3">
      <c r="B352" s="227"/>
      <c r="C352" s="227"/>
      <c r="D352" s="227"/>
      <c r="E352" s="227"/>
      <c r="F352" s="227"/>
      <c r="G352" s="227"/>
      <c r="H352" s="227"/>
      <c r="I352" s="228"/>
      <c r="J352" s="227"/>
      <c r="K352" s="228"/>
      <c r="L352" s="227"/>
      <c r="M352" s="227"/>
      <c r="N352" s="227"/>
      <c r="O352" s="227"/>
      <c r="P352" s="228"/>
    </row>
    <row r="353" spans="2:21" ht="5.0999999999999996" customHeight="1" x14ac:dyDescent="0.25">
      <c r="B353" s="3"/>
      <c r="C353" s="4"/>
      <c r="D353" s="4"/>
      <c r="E353" s="4"/>
      <c r="F353" s="4"/>
      <c r="G353" s="4"/>
      <c r="H353" s="55"/>
      <c r="I353" s="4"/>
      <c r="J353" s="4"/>
      <c r="K353" s="4"/>
      <c r="L353" s="4"/>
      <c r="M353" s="4"/>
      <c r="N353" s="4"/>
      <c r="O353" s="4"/>
      <c r="P353" s="5"/>
      <c r="Q353"/>
      <c r="R353"/>
    </row>
    <row r="354" spans="2:21" x14ac:dyDescent="0.25">
      <c r="B354" s="34"/>
      <c r="C354" s="94"/>
      <c r="D354" s="36"/>
      <c r="E354" s="36"/>
      <c r="F354" s="36"/>
      <c r="G354" s="36"/>
      <c r="H354" s="36"/>
      <c r="I354" s="44"/>
      <c r="J354" s="36"/>
      <c r="K354" s="44"/>
      <c r="L354" s="36"/>
      <c r="M354" s="36"/>
      <c r="N354" s="36"/>
      <c r="O354" s="36"/>
      <c r="P354" s="37"/>
      <c r="Q354"/>
      <c r="R354" s="105" t="s">
        <v>137</v>
      </c>
    </row>
    <row r="355" spans="2:21" x14ac:dyDescent="0.25">
      <c r="B355" s="34"/>
      <c r="C355" s="35" t="s">
        <v>410</v>
      </c>
      <c r="D355" s="36"/>
      <c r="E355" s="36"/>
      <c r="F355" s="36"/>
      <c r="G355" s="36"/>
      <c r="H355" s="1"/>
      <c r="I355" s="44"/>
      <c r="K355" s="44"/>
      <c r="L355" s="36"/>
      <c r="O355" s="71" t="s">
        <v>62</v>
      </c>
      <c r="P355" s="37"/>
      <c r="Q355"/>
      <c r="R355" s="1" t="s">
        <v>413</v>
      </c>
    </row>
    <row r="356" spans="2:21" ht="15.75" thickBot="1" x14ac:dyDescent="0.3">
      <c r="B356" s="68"/>
      <c r="C356" s="48" t="s">
        <v>56</v>
      </c>
      <c r="D356" s="48" t="s">
        <v>55</v>
      </c>
      <c r="E356" s="50"/>
      <c r="F356" s="48"/>
      <c r="G356" s="48"/>
      <c r="H356" s="48" t="s">
        <v>107</v>
      </c>
      <c r="I356" s="78" t="s">
        <v>108</v>
      </c>
      <c r="J356" s="69"/>
      <c r="K356" s="82" t="s">
        <v>110</v>
      </c>
      <c r="L356" s="48"/>
      <c r="M356" s="48" t="s">
        <v>109</v>
      </c>
      <c r="N356" s="48"/>
      <c r="O356" s="48" t="s">
        <v>19</v>
      </c>
      <c r="P356" s="70"/>
      <c r="Q356"/>
      <c r="R356" t="s">
        <v>188</v>
      </c>
    </row>
    <row r="357" spans="2:21" x14ac:dyDescent="0.25">
      <c r="B357" s="84"/>
      <c r="C357" s="85"/>
      <c r="D357" s="86" t="s">
        <v>406</v>
      </c>
      <c r="E357" s="85"/>
      <c r="F357" s="85"/>
      <c r="G357" s="85"/>
      <c r="H357" s="86" t="s">
        <v>59</v>
      </c>
      <c r="I357" s="89"/>
      <c r="J357" s="9"/>
      <c r="K357" s="87">
        <f>Input!M48</f>
        <v>0</v>
      </c>
      <c r="L357" s="86"/>
      <c r="M357" s="86"/>
      <c r="N357" s="86"/>
      <c r="O357" s="86"/>
      <c r="P357" s="99"/>
      <c r="Q357"/>
      <c r="R357" t="s">
        <v>411</v>
      </c>
    </row>
    <row r="358" spans="2:21" customFormat="1" x14ac:dyDescent="0.25">
      <c r="B358" s="84"/>
      <c r="C358" s="85"/>
      <c r="D358" s="11" t="str">
        <f>Basisgegevens!$D$14</f>
        <v>stratenmaker</v>
      </c>
      <c r="E358" s="85"/>
      <c r="F358" s="85"/>
      <c r="G358" s="85"/>
      <c r="H358" s="86" t="s">
        <v>111</v>
      </c>
      <c r="I358" s="87">
        <v>15</v>
      </c>
      <c r="J358" s="9"/>
      <c r="K358" s="87">
        <f>K357/1.88*1.65/I358</f>
        <v>0</v>
      </c>
      <c r="L358" s="86"/>
      <c r="M358" s="98">
        <f>Basisgegevens!$M$14</f>
        <v>38</v>
      </c>
      <c r="N358" s="86"/>
      <c r="O358" s="81">
        <f>M358*K358</f>
        <v>0</v>
      </c>
      <c r="P358" s="99"/>
      <c r="R358" s="1" t="s">
        <v>220</v>
      </c>
      <c r="S358" s="1"/>
      <c r="T358" s="1"/>
      <c r="U358" s="1"/>
    </row>
    <row r="359" spans="2:21" customFormat="1" x14ac:dyDescent="0.25">
      <c r="B359" s="84"/>
      <c r="C359" s="85"/>
      <c r="D359" s="11" t="str">
        <f>Basisgegevens!$D$14</f>
        <v>stratenmaker</v>
      </c>
      <c r="E359" s="85"/>
      <c r="F359" s="85"/>
      <c r="G359" s="85"/>
      <c r="H359" s="86" t="s">
        <v>111</v>
      </c>
      <c r="I359" s="87">
        <v>15</v>
      </c>
      <c r="J359" s="9"/>
      <c r="K359" s="87">
        <f>K357/1.88*1.65/I359</f>
        <v>0</v>
      </c>
      <c r="L359" s="86"/>
      <c r="M359" s="98">
        <f>Basisgegevens!$M$14</f>
        <v>38</v>
      </c>
      <c r="N359" s="86"/>
      <c r="O359" s="81">
        <f>M359*K359</f>
        <v>0</v>
      </c>
      <c r="P359" s="99"/>
      <c r="R359" s="66" t="s">
        <v>412</v>
      </c>
    </row>
    <row r="360" spans="2:21" customFormat="1" x14ac:dyDescent="0.25">
      <c r="B360" s="84"/>
      <c r="C360" s="85"/>
      <c r="D360" s="45" t="str">
        <f>Basisgegevens!$D$13</f>
        <v>grondwerker</v>
      </c>
      <c r="E360" s="85"/>
      <c r="F360" s="85"/>
      <c r="G360" s="85"/>
      <c r="H360" s="100" t="s">
        <v>111</v>
      </c>
      <c r="I360" s="87">
        <v>15</v>
      </c>
      <c r="J360" s="9"/>
      <c r="K360" s="87">
        <f>K357/1.88*1.65/I360</f>
        <v>0</v>
      </c>
      <c r="L360" s="86"/>
      <c r="M360" s="98">
        <f>Basisgegevens!$M$13</f>
        <v>35</v>
      </c>
      <c r="N360" s="86"/>
      <c r="O360" s="81">
        <f>M360*K360</f>
        <v>0</v>
      </c>
      <c r="P360" s="99"/>
      <c r="R360" s="1"/>
    </row>
    <row r="361" spans="2:21" customFormat="1" x14ac:dyDescent="0.25">
      <c r="B361" s="84"/>
      <c r="C361" s="85"/>
      <c r="D361" s="11" t="str">
        <f>Basisgegevens!$D$38</f>
        <v>wiellaadschop 1 m³</v>
      </c>
      <c r="E361" s="85"/>
      <c r="F361" s="85"/>
      <c r="G361" s="85"/>
      <c r="H361" s="86" t="s">
        <v>111</v>
      </c>
      <c r="I361" s="87">
        <v>125</v>
      </c>
      <c r="J361" s="9"/>
      <c r="K361" s="87">
        <f>K357/1.88*1.65/I361</f>
        <v>0</v>
      </c>
      <c r="L361" s="86"/>
      <c r="M361" s="98">
        <f>Basisgegevens!$M$38</f>
        <v>67.5</v>
      </c>
      <c r="N361" s="86"/>
      <c r="O361" s="81">
        <f>K361*M361</f>
        <v>0</v>
      </c>
      <c r="P361" s="99"/>
      <c r="R361" s="1"/>
    </row>
    <row r="362" spans="2:21" customFormat="1" x14ac:dyDescent="0.25">
      <c r="B362" s="84"/>
      <c r="C362" s="85"/>
      <c r="D362" s="11" t="str">
        <f>Basisgegevens!$D$43</f>
        <v>trilplaat 1000 kg, excl. bediening</v>
      </c>
      <c r="E362" s="85"/>
      <c r="F362" s="85"/>
      <c r="G362" s="85"/>
      <c r="H362" s="86" t="s">
        <v>170</v>
      </c>
      <c r="I362" s="87">
        <v>1000</v>
      </c>
      <c r="J362" s="9"/>
      <c r="K362" s="87">
        <f>K357/I362</f>
        <v>0</v>
      </c>
      <c r="L362" s="86"/>
      <c r="M362" s="98">
        <f>Basisgegevens!$M$43</f>
        <v>20</v>
      </c>
      <c r="N362" s="86"/>
      <c r="O362" s="81">
        <f>K362*M362</f>
        <v>0</v>
      </c>
      <c r="P362" s="99"/>
      <c r="R362" s="66"/>
    </row>
    <row r="363" spans="2:21" customFormat="1" x14ac:dyDescent="0.25">
      <c r="B363" s="84"/>
      <c r="C363" s="85"/>
      <c r="D363" s="11" t="str">
        <f>Basisgegevens!$D$86</f>
        <v>brekerzand</v>
      </c>
      <c r="E363" s="85"/>
      <c r="F363" s="85"/>
      <c r="G363" s="85"/>
      <c r="H363" s="86" t="s">
        <v>168</v>
      </c>
      <c r="I363" s="87">
        <v>1</v>
      </c>
      <c r="J363" s="9"/>
      <c r="K363" s="87">
        <f>K357/100*1/1.7</f>
        <v>0</v>
      </c>
      <c r="L363" s="86"/>
      <c r="M363" s="98">
        <f>Basisgegevens!$M$86</f>
        <v>8.5</v>
      </c>
      <c r="N363" s="86"/>
      <c r="O363" s="81">
        <f>K363*M363</f>
        <v>0</v>
      </c>
      <c r="P363" s="99"/>
      <c r="R363" s="58" t="s">
        <v>364</v>
      </c>
      <c r="S363" s="58" t="str">
        <f>D370</f>
        <v>betontegel rood, 30/15 dik 60</v>
      </c>
      <c r="T363" s="1"/>
    </row>
    <row r="364" spans="2:21" customFormat="1" x14ac:dyDescent="0.25">
      <c r="B364" s="84"/>
      <c r="C364" s="85"/>
      <c r="D364" s="10" t="s">
        <v>209</v>
      </c>
      <c r="E364" s="85"/>
      <c r="F364" s="85"/>
      <c r="G364" s="85"/>
      <c r="H364" s="86"/>
      <c r="I364" s="87"/>
      <c r="J364" s="9"/>
      <c r="K364" s="87"/>
      <c r="L364" s="86"/>
      <c r="M364" s="98"/>
      <c r="N364" s="86"/>
      <c r="O364" s="81"/>
      <c r="P364" s="99"/>
      <c r="R364" s="109">
        <v>3</v>
      </c>
      <c r="S364" s="96">
        <f>K357/22*2*1</f>
        <v>0</v>
      </c>
      <c r="T364" s="118">
        <v>1</v>
      </c>
    </row>
    <row r="365" spans="2:21" customFormat="1" x14ac:dyDescent="0.25">
      <c r="B365" s="84"/>
      <c r="C365" s="85"/>
      <c r="D365" s="11" t="str">
        <f>Basisgegevens!$D$38</f>
        <v>wiellaadschop 1 m³</v>
      </c>
      <c r="E365" s="85"/>
      <c r="F365" s="85"/>
      <c r="G365" s="85"/>
      <c r="H365" s="86" t="s">
        <v>111</v>
      </c>
      <c r="I365" s="87">
        <v>125</v>
      </c>
      <c r="J365" s="9"/>
      <c r="K365" s="87">
        <f>K357/1.88*1.65/I365</f>
        <v>0</v>
      </c>
      <c r="L365" s="86"/>
      <c r="M365" s="98">
        <f>Basisgegevens!$M$38</f>
        <v>67.5</v>
      </c>
      <c r="N365" s="86"/>
      <c r="O365" s="81">
        <f>K365*M365</f>
        <v>0</v>
      </c>
      <c r="P365" s="99"/>
      <c r="R365" s="17">
        <v>2</v>
      </c>
      <c r="S365" s="96">
        <f>K357/22*2*0.15</f>
        <v>0</v>
      </c>
      <c r="T365" s="118">
        <v>0.15</v>
      </c>
    </row>
    <row r="366" spans="2:21" customFormat="1" x14ac:dyDescent="0.25">
      <c r="B366" s="84"/>
      <c r="C366" s="85"/>
      <c r="D366" s="45" t="str">
        <f>Basisgegevens!$D$13</f>
        <v>grondwerker</v>
      </c>
      <c r="E366" s="85"/>
      <c r="F366" s="85"/>
      <c r="G366" s="85"/>
      <c r="H366" s="100" t="s">
        <v>111</v>
      </c>
      <c r="I366" s="87">
        <v>125</v>
      </c>
      <c r="J366" s="9"/>
      <c r="K366" s="87">
        <f>K357/1.88*1.65/I366</f>
        <v>0</v>
      </c>
      <c r="L366" s="86"/>
      <c r="M366" s="98">
        <f>Basisgegevens!$M$13</f>
        <v>35</v>
      </c>
      <c r="N366" s="86"/>
      <c r="O366" s="81">
        <f>M366*K366</f>
        <v>0</v>
      </c>
      <c r="P366" s="99"/>
      <c r="R366" t="s">
        <v>365</v>
      </c>
      <c r="S366" s="126">
        <f>VLOOKUP(Input!$R$14,R364:S365,2,0)</f>
        <v>0</v>
      </c>
      <c r="T366" s="1"/>
    </row>
    <row r="367" spans="2:21" customFormat="1" x14ac:dyDescent="0.25">
      <c r="B367" s="84"/>
      <c r="C367" s="85"/>
      <c r="D367" s="86" t="s">
        <v>210</v>
      </c>
      <c r="E367" s="85"/>
      <c r="F367" s="85"/>
      <c r="G367" s="85"/>
      <c r="H367" s="100"/>
      <c r="I367" s="87"/>
      <c r="J367" s="9"/>
      <c r="K367" s="87"/>
      <c r="L367" s="86"/>
      <c r="M367" s="98"/>
      <c r="N367" s="86"/>
      <c r="O367" s="81"/>
      <c r="P367" s="99"/>
      <c r="R367" s="58" t="s">
        <v>364</v>
      </c>
      <c r="S367" s="58" t="str">
        <f>D371</f>
        <v>betontegel rood, 30/30 dik 60</v>
      </c>
      <c r="T367" s="1"/>
    </row>
    <row r="368" spans="2:21" customFormat="1" x14ac:dyDescent="0.25">
      <c r="B368" s="84"/>
      <c r="C368" s="85"/>
      <c r="D368" s="45" t="str">
        <f>Basisgegevens!$D$86</f>
        <v>brekerzand</v>
      </c>
      <c r="E368" s="85"/>
      <c r="F368" s="85"/>
      <c r="G368" s="85"/>
      <c r="H368" s="100" t="s">
        <v>168</v>
      </c>
      <c r="I368" s="87">
        <v>1</v>
      </c>
      <c r="J368" s="9"/>
      <c r="K368" s="87">
        <f>(K357*0.05*1.7/(1.65/1.88))</f>
        <v>0</v>
      </c>
      <c r="L368" s="86"/>
      <c r="M368" s="98">
        <f>Basisgegevens!$M$86</f>
        <v>8.5</v>
      </c>
      <c r="N368" s="86"/>
      <c r="O368" s="81">
        <f>M368*K368</f>
        <v>0</v>
      </c>
      <c r="P368" s="99"/>
      <c r="R368" s="109">
        <v>3</v>
      </c>
      <c r="S368" s="96">
        <f>K357/11*10*1</f>
        <v>0</v>
      </c>
      <c r="T368" s="118">
        <v>1</v>
      </c>
    </row>
    <row r="369" spans="2:21" x14ac:dyDescent="0.25">
      <c r="B369" s="84"/>
      <c r="C369" s="85"/>
      <c r="D369" s="86" t="s">
        <v>270</v>
      </c>
      <c r="E369" s="85"/>
      <c r="F369" s="85"/>
      <c r="G369" s="85"/>
      <c r="H369" s="100"/>
      <c r="I369" s="90"/>
      <c r="J369" s="9"/>
      <c r="K369" s="87"/>
      <c r="L369" s="86"/>
      <c r="M369" s="98"/>
      <c r="N369" s="86"/>
      <c r="O369" s="81"/>
      <c r="P369" s="99"/>
      <c r="Q369"/>
      <c r="R369" s="17">
        <v>2</v>
      </c>
      <c r="S369" s="96">
        <f>K357/11*10*0.15</f>
        <v>0</v>
      </c>
      <c r="T369" s="118">
        <v>0.15</v>
      </c>
      <c r="U369"/>
    </row>
    <row r="370" spans="2:21" x14ac:dyDescent="0.25">
      <c r="B370" s="84"/>
      <c r="C370" s="85"/>
      <c r="D370" s="45" t="str">
        <f>Basisgegevens!$D$111</f>
        <v>betontegel rood, 30/15 dik 60</v>
      </c>
      <c r="E370" s="85"/>
      <c r="F370" s="85"/>
      <c r="G370" s="85"/>
      <c r="H370" s="100" t="s">
        <v>59</v>
      </c>
      <c r="I370" s="90">
        <v>1</v>
      </c>
      <c r="J370" s="9"/>
      <c r="K370" s="87">
        <f>S366</f>
        <v>0</v>
      </c>
      <c r="L370" s="86"/>
      <c r="M370" s="88">
        <f>Basisgegevens!$M$111</f>
        <v>14.5</v>
      </c>
      <c r="N370" s="86"/>
      <c r="O370" s="81">
        <f>K370*M370</f>
        <v>0</v>
      </c>
      <c r="P370" s="99"/>
      <c r="Q370"/>
      <c r="R370" t="s">
        <v>365</v>
      </c>
      <c r="S370" s="126">
        <f>VLOOKUP(Input!$R$14,R368:S369,2,0)</f>
        <v>0</v>
      </c>
      <c r="U370"/>
    </row>
    <row r="371" spans="2:21" x14ac:dyDescent="0.25">
      <c r="B371" s="84"/>
      <c r="C371" s="85"/>
      <c r="D371" s="45" t="str">
        <f>Basisgegevens!$D$112</f>
        <v>betontegel rood, 30/30 dik 60</v>
      </c>
      <c r="E371" s="85"/>
      <c r="F371" s="85"/>
      <c r="G371" s="85"/>
      <c r="H371" s="100" t="s">
        <v>59</v>
      </c>
      <c r="I371" s="90">
        <v>1</v>
      </c>
      <c r="J371" s="9"/>
      <c r="K371" s="87">
        <f>S370</f>
        <v>0</v>
      </c>
      <c r="L371" s="86"/>
      <c r="M371" s="88">
        <f>Basisgegevens!$M$112</f>
        <v>16</v>
      </c>
      <c r="N371" s="86"/>
      <c r="O371" s="81">
        <f>K371*M371</f>
        <v>0</v>
      </c>
      <c r="P371" s="99"/>
      <c r="Q371"/>
      <c r="R371" s="58" t="s">
        <v>364</v>
      </c>
      <c r="S371" s="58" t="str">
        <f>D378</f>
        <v>opsluitband 80x200</v>
      </c>
    </row>
    <row r="372" spans="2:21" customFormat="1" x14ac:dyDescent="0.25">
      <c r="B372" s="84"/>
      <c r="C372" s="85"/>
      <c r="D372" s="86" t="s">
        <v>403</v>
      </c>
      <c r="E372" s="85"/>
      <c r="F372" s="85"/>
      <c r="G372" s="85"/>
      <c r="H372" s="86" t="s">
        <v>29</v>
      </c>
      <c r="I372" s="89"/>
      <c r="J372" s="9"/>
      <c r="K372" s="87"/>
      <c r="L372" s="86"/>
      <c r="M372" s="86"/>
      <c r="N372" s="86"/>
      <c r="O372" s="86"/>
      <c r="P372" s="99"/>
      <c r="R372" s="109">
        <v>3</v>
      </c>
      <c r="S372" s="96">
        <f>K357/1.88*1</f>
        <v>0</v>
      </c>
      <c r="T372" s="118">
        <v>1</v>
      </c>
      <c r="U372" s="1"/>
    </row>
    <row r="373" spans="2:21" customFormat="1" x14ac:dyDescent="0.25">
      <c r="B373" s="84"/>
      <c r="C373" s="85"/>
      <c r="D373" s="11" t="str">
        <f>Basisgegevens!$D$14</f>
        <v>stratenmaker</v>
      </c>
      <c r="E373" s="85"/>
      <c r="F373" s="85"/>
      <c r="G373" s="85"/>
      <c r="H373" s="86" t="s">
        <v>111</v>
      </c>
      <c r="I373" s="87">
        <v>20</v>
      </c>
      <c r="J373" s="9"/>
      <c r="K373" s="87">
        <f>$K$378/I373</f>
        <v>0</v>
      </c>
      <c r="L373" s="86"/>
      <c r="M373" s="98">
        <f>Basisgegevens!$M$14</f>
        <v>38</v>
      </c>
      <c r="N373" s="86"/>
      <c r="O373" s="81">
        <f>M373*K373</f>
        <v>0</v>
      </c>
      <c r="P373" s="99"/>
      <c r="R373" s="17">
        <v>2</v>
      </c>
      <c r="S373" s="96">
        <f>K357/1.88*0.15</f>
        <v>0</v>
      </c>
      <c r="T373" s="118">
        <v>0.15</v>
      </c>
    </row>
    <row r="374" spans="2:21" customFormat="1" x14ac:dyDescent="0.25">
      <c r="B374" s="84"/>
      <c r="C374" s="85"/>
      <c r="D374" s="11" t="str">
        <f>Basisgegevens!$D$14</f>
        <v>stratenmaker</v>
      </c>
      <c r="E374" s="85"/>
      <c r="F374" s="85"/>
      <c r="G374" s="85"/>
      <c r="H374" s="86" t="s">
        <v>111</v>
      </c>
      <c r="I374" s="87">
        <v>20</v>
      </c>
      <c r="J374" s="9"/>
      <c r="K374" s="87">
        <f>$K$378/I374</f>
        <v>0</v>
      </c>
      <c r="L374" s="86"/>
      <c r="M374" s="98">
        <f>Basisgegevens!$M$14</f>
        <v>38</v>
      </c>
      <c r="N374" s="86"/>
      <c r="O374" s="81">
        <f>M374*K374</f>
        <v>0</v>
      </c>
      <c r="P374" s="99"/>
      <c r="R374" t="s">
        <v>365</v>
      </c>
      <c r="S374" s="126">
        <f>VLOOKUP(Input!$R$14,R372:S373,2,0)</f>
        <v>0</v>
      </c>
      <c r="T374" s="1"/>
    </row>
    <row r="375" spans="2:21" customFormat="1" x14ac:dyDescent="0.25">
      <c r="B375" s="84"/>
      <c r="C375" s="85"/>
      <c r="D375" s="45" t="str">
        <f>Basisgegevens!$D$13</f>
        <v>grondwerker</v>
      </c>
      <c r="E375" s="85"/>
      <c r="F375" s="85"/>
      <c r="G375" s="85"/>
      <c r="H375" s="100" t="s">
        <v>111</v>
      </c>
      <c r="I375" s="87">
        <v>20</v>
      </c>
      <c r="J375" s="9"/>
      <c r="K375" s="87">
        <f>$K$378/I375</f>
        <v>0</v>
      </c>
      <c r="L375" s="86"/>
      <c r="M375" s="98">
        <f>Basisgegevens!$M$13</f>
        <v>35</v>
      </c>
      <c r="N375" s="86"/>
      <c r="O375" s="81">
        <f>M375*K375</f>
        <v>0</v>
      </c>
      <c r="P375" s="99"/>
      <c r="R375" s="109"/>
      <c r="S375" s="96"/>
      <c r="T375" s="118"/>
    </row>
    <row r="376" spans="2:21" customFormat="1" x14ac:dyDescent="0.25">
      <c r="B376" s="84"/>
      <c r="C376" s="85"/>
      <c r="D376" s="11" t="str">
        <f>Basisgegevens!$D$38</f>
        <v>wiellaadschop 1 m³</v>
      </c>
      <c r="E376" s="85"/>
      <c r="F376" s="85"/>
      <c r="G376" s="85"/>
      <c r="H376" s="86" t="s">
        <v>111</v>
      </c>
      <c r="I376" s="87">
        <v>125</v>
      </c>
      <c r="J376" s="9"/>
      <c r="K376" s="87">
        <f>$K$378/I376</f>
        <v>0</v>
      </c>
      <c r="L376" s="86"/>
      <c r="M376" s="98">
        <f>Basisgegevens!$M$38</f>
        <v>67.5</v>
      </c>
      <c r="N376" s="86"/>
      <c r="O376" s="81">
        <f>K376*M376</f>
        <v>0</v>
      </c>
      <c r="P376" s="99"/>
      <c r="R376" s="17"/>
      <c r="S376" s="96"/>
      <c r="T376" s="118"/>
    </row>
    <row r="377" spans="2:21" customFormat="1" x14ac:dyDescent="0.25">
      <c r="B377" s="110"/>
      <c r="C377" s="111"/>
      <c r="D377" s="86" t="s">
        <v>214</v>
      </c>
      <c r="E377" s="85"/>
      <c r="F377" s="85"/>
      <c r="G377" s="85"/>
      <c r="H377" s="100"/>
      <c r="I377" s="87"/>
      <c r="J377" s="9"/>
      <c r="K377" s="87"/>
      <c r="L377" s="86"/>
      <c r="M377" s="98"/>
      <c r="N377" s="86"/>
      <c r="O377" s="81"/>
      <c r="P377" s="112"/>
      <c r="S377" s="126"/>
      <c r="T377" s="1"/>
    </row>
    <row r="378" spans="2:21" customFormat="1" x14ac:dyDescent="0.25">
      <c r="B378" s="110"/>
      <c r="C378" s="111"/>
      <c r="D378" s="45" t="str">
        <f>Basisgegevens!$D$113</f>
        <v>opsluitband 80x200</v>
      </c>
      <c r="E378" s="85"/>
      <c r="F378" s="85"/>
      <c r="G378" s="85"/>
      <c r="H378" s="100" t="s">
        <v>135</v>
      </c>
      <c r="I378" s="87">
        <v>1</v>
      </c>
      <c r="J378" s="9"/>
      <c r="K378" s="87">
        <f>S374</f>
        <v>0</v>
      </c>
      <c r="L378" s="86"/>
      <c r="M378" s="98">
        <f>Basisgegevens!$M$114</f>
        <v>10</v>
      </c>
      <c r="N378" s="86"/>
      <c r="O378" s="81">
        <f>M378*K378</f>
        <v>0</v>
      </c>
      <c r="P378" s="112"/>
      <c r="R378" s="17"/>
      <c r="S378" s="96"/>
      <c r="T378" s="118"/>
    </row>
    <row r="379" spans="2:21" ht="15" customHeight="1" x14ac:dyDescent="0.25">
      <c r="B379" s="73"/>
      <c r="C379" s="83"/>
      <c r="D379" s="83" t="s">
        <v>22</v>
      </c>
      <c r="E379" s="83"/>
      <c r="F379" s="83"/>
      <c r="G379" s="83"/>
      <c r="H379" s="83" t="str">
        <f>H357</f>
        <v>m2</v>
      </c>
      <c r="I379" s="80"/>
      <c r="J379" s="83"/>
      <c r="K379" s="80">
        <f>K357</f>
        <v>0</v>
      </c>
      <c r="L379" s="83"/>
      <c r="M379" s="103" t="e">
        <f>O379/K357</f>
        <v>#DIV/0!</v>
      </c>
      <c r="N379" s="83"/>
      <c r="O379" s="103">
        <f>SUM(O358:O378)</f>
        <v>0</v>
      </c>
      <c r="P379" s="104"/>
      <c r="Q379"/>
      <c r="R379"/>
      <c r="S379" s="126"/>
    </row>
    <row r="380" spans="2:21" ht="5.0999999999999996" customHeight="1" thickBot="1" x14ac:dyDescent="0.3">
      <c r="B380" s="12"/>
      <c r="C380" s="13"/>
      <c r="D380" s="13"/>
      <c r="E380" s="13"/>
      <c r="F380" s="13"/>
      <c r="G380" s="13"/>
      <c r="H380" s="13"/>
      <c r="I380" s="15"/>
      <c r="J380" s="13"/>
      <c r="K380" s="15"/>
      <c r="L380" s="13"/>
      <c r="M380" s="13"/>
      <c r="N380" s="13"/>
      <c r="O380" s="13"/>
      <c r="P380" s="14"/>
    </row>
    <row r="381" spans="2:21" ht="30" customHeight="1" thickBot="1" x14ac:dyDescent="0.3">
      <c r="Q381"/>
      <c r="R381"/>
    </row>
    <row r="382" spans="2:21" ht="5.0999999999999996" customHeight="1" x14ac:dyDescent="0.25">
      <c r="B382" s="3"/>
      <c r="C382" s="4"/>
      <c r="D382" s="4"/>
      <c r="E382" s="4"/>
      <c r="F382" s="4"/>
      <c r="G382" s="4"/>
      <c r="H382" s="55"/>
      <c r="I382" s="4"/>
      <c r="J382" s="4"/>
      <c r="K382" s="4"/>
      <c r="L382" s="4"/>
      <c r="M382" s="4"/>
      <c r="N382" s="4"/>
      <c r="O382" s="4"/>
      <c r="P382" s="5"/>
      <c r="Q382"/>
    </row>
    <row r="383" spans="2:21" x14ac:dyDescent="0.25">
      <c r="B383" s="34"/>
      <c r="C383" s="94"/>
      <c r="D383" s="36"/>
      <c r="E383" s="36"/>
      <c r="F383" s="36"/>
      <c r="G383" s="36"/>
      <c r="H383" s="36"/>
      <c r="I383" s="44"/>
      <c r="J383" s="36"/>
      <c r="K383" s="44"/>
      <c r="L383" s="36"/>
      <c r="M383" s="36"/>
      <c r="N383" s="36"/>
      <c r="O383" s="36"/>
      <c r="P383" s="37"/>
      <c r="Q383"/>
    </row>
    <row r="384" spans="2:21" x14ac:dyDescent="0.25">
      <c r="B384" s="34"/>
      <c r="C384" s="35" t="s">
        <v>409</v>
      </c>
      <c r="D384" s="36"/>
      <c r="E384" s="36"/>
      <c r="F384" s="36"/>
      <c r="G384" s="36"/>
      <c r="H384"/>
      <c r="I384" s="44"/>
      <c r="J384"/>
      <c r="K384" s="44"/>
      <c r="L384" s="36"/>
      <c r="O384" s="71" t="s">
        <v>62</v>
      </c>
      <c r="P384" s="37"/>
      <c r="Q384"/>
      <c r="R384" s="105" t="s">
        <v>137</v>
      </c>
    </row>
    <row r="385" spans="2:21" ht="15.75" thickBot="1" x14ac:dyDescent="0.3">
      <c r="B385" s="68"/>
      <c r="C385" s="48" t="s">
        <v>56</v>
      </c>
      <c r="D385" s="48" t="s">
        <v>55</v>
      </c>
      <c r="E385" s="50"/>
      <c r="F385" s="48"/>
      <c r="G385" s="48"/>
      <c r="H385" s="48" t="s">
        <v>107</v>
      </c>
      <c r="I385" s="78" t="s">
        <v>108</v>
      </c>
      <c r="J385" s="69"/>
      <c r="K385" s="82" t="s">
        <v>110</v>
      </c>
      <c r="L385" s="48"/>
      <c r="M385" s="48" t="s">
        <v>109</v>
      </c>
      <c r="N385" s="48"/>
      <c r="O385" s="48" t="s">
        <v>19</v>
      </c>
      <c r="P385" s="70"/>
      <c r="Q385"/>
      <c r="R385" s="1" t="s">
        <v>272</v>
      </c>
    </row>
    <row r="386" spans="2:21" x14ac:dyDescent="0.25">
      <c r="B386" s="84"/>
      <c r="C386" s="85"/>
      <c r="D386" s="86" t="s">
        <v>406</v>
      </c>
      <c r="E386" s="85"/>
      <c r="F386" s="85"/>
      <c r="G386" s="85"/>
      <c r="H386" s="86" t="s">
        <v>59</v>
      </c>
      <c r="I386" s="89"/>
      <c r="J386" s="9"/>
      <c r="K386" s="87">
        <f>Input!$M$49</f>
        <v>0</v>
      </c>
      <c r="L386" s="86"/>
      <c r="M386" s="86"/>
      <c r="N386" s="86"/>
      <c r="O386" s="86"/>
      <c r="P386" s="99"/>
      <c r="Q386"/>
      <c r="R386" t="s">
        <v>188</v>
      </c>
    </row>
    <row r="387" spans="2:21" customFormat="1" x14ac:dyDescent="0.25">
      <c r="B387" s="84"/>
      <c r="C387" s="85"/>
      <c r="D387" s="11" t="str">
        <f>Basisgegevens!$D$14</f>
        <v>stratenmaker</v>
      </c>
      <c r="E387" s="85"/>
      <c r="F387" s="85"/>
      <c r="G387" s="85"/>
      <c r="H387" s="86" t="s">
        <v>111</v>
      </c>
      <c r="I387" s="87">
        <v>18.75</v>
      </c>
      <c r="J387" s="9"/>
      <c r="K387" s="87">
        <f>K386/1.53*1.45/I387</f>
        <v>0</v>
      </c>
      <c r="L387" s="86"/>
      <c r="M387" s="98">
        <f>Basisgegevens!$M$14</f>
        <v>38</v>
      </c>
      <c r="N387" s="86"/>
      <c r="O387" s="81">
        <f>M387*K387</f>
        <v>0</v>
      </c>
      <c r="P387" s="99"/>
      <c r="R387" t="s">
        <v>408</v>
      </c>
      <c r="S387" s="1"/>
      <c r="T387" s="1"/>
      <c r="U387" s="1"/>
    </row>
    <row r="388" spans="2:21" customFormat="1" x14ac:dyDescent="0.25">
      <c r="B388" s="84"/>
      <c r="C388" s="85"/>
      <c r="D388" s="11" t="str">
        <f>Basisgegevens!$D$14</f>
        <v>stratenmaker</v>
      </c>
      <c r="E388" s="85"/>
      <c r="F388" s="85"/>
      <c r="G388" s="85"/>
      <c r="H388" s="86" t="s">
        <v>111</v>
      </c>
      <c r="I388" s="87">
        <v>18.75</v>
      </c>
      <c r="J388" s="9"/>
      <c r="K388" s="87">
        <f>K386/1.53*1.45/I388</f>
        <v>0</v>
      </c>
      <c r="L388" s="86"/>
      <c r="M388" s="98">
        <f>Basisgegevens!$M$14</f>
        <v>38</v>
      </c>
      <c r="N388" s="86"/>
      <c r="O388" s="81">
        <f>M388*K388</f>
        <v>0</v>
      </c>
      <c r="P388" s="99"/>
      <c r="R388" s="1" t="s">
        <v>220</v>
      </c>
      <c r="S388" s="1"/>
      <c r="T388" s="1"/>
      <c r="U388" s="1"/>
    </row>
    <row r="389" spans="2:21" customFormat="1" x14ac:dyDescent="0.25">
      <c r="B389" s="84"/>
      <c r="C389" s="85"/>
      <c r="D389" s="45" t="str">
        <f>Basisgegevens!$D$13</f>
        <v>grondwerker</v>
      </c>
      <c r="E389" s="85"/>
      <c r="F389" s="85"/>
      <c r="G389" s="85"/>
      <c r="H389" s="100" t="s">
        <v>111</v>
      </c>
      <c r="I389" s="87">
        <v>18.75</v>
      </c>
      <c r="J389" s="9"/>
      <c r="K389" s="87">
        <f>K386/1.53*1.45/I389</f>
        <v>0</v>
      </c>
      <c r="L389" s="86"/>
      <c r="M389" s="98">
        <f>Basisgegevens!$M$13</f>
        <v>35</v>
      </c>
      <c r="N389" s="86"/>
      <c r="O389" s="81">
        <f>M389*K389</f>
        <v>0</v>
      </c>
      <c r="P389" s="99"/>
      <c r="R389" s="1"/>
    </row>
    <row r="390" spans="2:21" customFormat="1" x14ac:dyDescent="0.25">
      <c r="B390" s="84"/>
      <c r="C390" s="85"/>
      <c r="D390" s="11" t="str">
        <f>Basisgegevens!$D$38</f>
        <v>wiellaadschop 1 m³</v>
      </c>
      <c r="E390" s="85"/>
      <c r="F390" s="85"/>
      <c r="G390" s="85"/>
      <c r="H390" s="86" t="s">
        <v>111</v>
      </c>
      <c r="I390" s="87">
        <v>125</v>
      </c>
      <c r="J390" s="9"/>
      <c r="K390" s="87">
        <f>K386/1.53*1.45/I390</f>
        <v>0</v>
      </c>
      <c r="L390" s="86"/>
      <c r="M390" s="98">
        <f>Basisgegevens!$M$38</f>
        <v>67.5</v>
      </c>
      <c r="N390" s="86"/>
      <c r="O390" s="81">
        <f>K390*M390</f>
        <v>0</v>
      </c>
      <c r="P390" s="99"/>
      <c r="R390" s="1"/>
    </row>
    <row r="391" spans="2:21" customFormat="1" x14ac:dyDescent="0.25">
      <c r="B391" s="84"/>
      <c r="C391" s="85"/>
      <c r="D391" s="11" t="str">
        <f>Basisgegevens!$D$43</f>
        <v>trilplaat 1000 kg, excl. bediening</v>
      </c>
      <c r="E391" s="85"/>
      <c r="F391" s="85"/>
      <c r="G391" s="85"/>
      <c r="H391" s="86" t="s">
        <v>170</v>
      </c>
      <c r="I391" s="87">
        <v>1000</v>
      </c>
      <c r="J391" s="9"/>
      <c r="K391" s="87">
        <f>K386/I391</f>
        <v>0</v>
      </c>
      <c r="L391" s="86"/>
      <c r="M391" s="98">
        <f>Basisgegevens!$M$43</f>
        <v>20</v>
      </c>
      <c r="N391" s="86"/>
      <c r="O391" s="81">
        <f>K391*M391</f>
        <v>0</v>
      </c>
      <c r="P391" s="99"/>
      <c r="R391" s="1"/>
    </row>
    <row r="392" spans="2:21" customFormat="1" x14ac:dyDescent="0.25">
      <c r="B392" s="84"/>
      <c r="C392" s="85"/>
      <c r="D392" s="11" t="str">
        <f>Basisgegevens!$D$86</f>
        <v>brekerzand</v>
      </c>
      <c r="E392" s="85"/>
      <c r="F392" s="85"/>
      <c r="G392" s="85"/>
      <c r="H392" s="86" t="s">
        <v>168</v>
      </c>
      <c r="I392" s="87">
        <v>1</v>
      </c>
      <c r="J392" s="9"/>
      <c r="K392" s="87">
        <f>K386/100*1/1.7</f>
        <v>0</v>
      </c>
      <c r="L392" s="86"/>
      <c r="M392" s="98">
        <f>Basisgegevens!$M$86</f>
        <v>8.5</v>
      </c>
      <c r="N392" s="86"/>
      <c r="O392" s="81">
        <f>K392*M392</f>
        <v>0</v>
      </c>
      <c r="P392" s="99"/>
      <c r="R392" s="66"/>
    </row>
    <row r="393" spans="2:21" customFormat="1" x14ac:dyDescent="0.25">
      <c r="B393" s="84"/>
      <c r="C393" s="85"/>
      <c r="D393" s="10" t="s">
        <v>209</v>
      </c>
      <c r="E393" s="85"/>
      <c r="F393" s="85"/>
      <c r="G393" s="85"/>
      <c r="H393" s="86"/>
      <c r="I393" s="87"/>
      <c r="J393" s="9"/>
      <c r="K393" s="87"/>
      <c r="L393" s="86"/>
      <c r="M393" s="98"/>
      <c r="N393" s="86"/>
      <c r="O393" s="81"/>
      <c r="P393" s="99"/>
      <c r="R393" s="58" t="s">
        <v>364</v>
      </c>
      <c r="S393" s="58" t="str">
        <f>D399</f>
        <v xml:space="preserve">betontegel grijs, 30/15 dik 45 </v>
      </c>
      <c r="T393" s="1"/>
    </row>
    <row r="394" spans="2:21" customFormat="1" x14ac:dyDescent="0.25">
      <c r="B394" s="84"/>
      <c r="C394" s="85"/>
      <c r="D394" s="11" t="str">
        <f>Basisgegevens!$D$38</f>
        <v>wiellaadschop 1 m³</v>
      </c>
      <c r="E394" s="85"/>
      <c r="F394" s="85"/>
      <c r="G394" s="85"/>
      <c r="H394" s="86" t="s">
        <v>111</v>
      </c>
      <c r="I394" s="87">
        <v>125</v>
      </c>
      <c r="J394" s="9"/>
      <c r="K394" s="87">
        <f>K386/1.53*1.45/I394</f>
        <v>0</v>
      </c>
      <c r="L394" s="86"/>
      <c r="M394" s="98">
        <f>Basisgegevens!$M$38</f>
        <v>67.5</v>
      </c>
      <c r="N394" s="86"/>
      <c r="O394" s="81">
        <f>K394*M394</f>
        <v>0</v>
      </c>
      <c r="P394" s="99"/>
      <c r="R394" s="109">
        <v>3</v>
      </c>
      <c r="S394" s="96">
        <f>K386/22*4*1</f>
        <v>0</v>
      </c>
      <c r="T394" s="118">
        <v>1</v>
      </c>
    </row>
    <row r="395" spans="2:21" customFormat="1" x14ac:dyDescent="0.25">
      <c r="B395" s="84"/>
      <c r="C395" s="85"/>
      <c r="D395" s="45" t="str">
        <f>Basisgegevens!$D$13</f>
        <v>grondwerker</v>
      </c>
      <c r="E395" s="85"/>
      <c r="F395" s="85"/>
      <c r="G395" s="85"/>
      <c r="H395" s="100" t="s">
        <v>111</v>
      </c>
      <c r="I395" s="87">
        <v>125</v>
      </c>
      <c r="J395" s="9"/>
      <c r="K395" s="87">
        <f>K386/1.53*1.45/I395</f>
        <v>0</v>
      </c>
      <c r="L395" s="86"/>
      <c r="M395" s="98">
        <f>Basisgegevens!$M$13</f>
        <v>35</v>
      </c>
      <c r="N395" s="86"/>
      <c r="O395" s="81">
        <f>M395*K395</f>
        <v>0</v>
      </c>
      <c r="P395" s="99"/>
      <c r="R395" s="17">
        <v>2</v>
      </c>
      <c r="S395" s="96">
        <f>K386/22*4*0.15</f>
        <v>0</v>
      </c>
      <c r="T395" s="118">
        <v>0.15</v>
      </c>
    </row>
    <row r="396" spans="2:21" customFormat="1" x14ac:dyDescent="0.25">
      <c r="B396" s="84"/>
      <c r="C396" s="85"/>
      <c r="D396" s="86" t="s">
        <v>210</v>
      </c>
      <c r="E396" s="85"/>
      <c r="F396" s="85"/>
      <c r="G396" s="85"/>
      <c r="H396" s="100"/>
      <c r="I396" s="87"/>
      <c r="J396" s="9"/>
      <c r="K396" s="87"/>
      <c r="L396" s="86"/>
      <c r="M396" s="98"/>
      <c r="N396" s="86"/>
      <c r="O396" s="81"/>
      <c r="P396" s="99"/>
      <c r="R396" t="s">
        <v>365</v>
      </c>
      <c r="S396" s="126">
        <f>VLOOKUP(Input!$R$14,R394:S395,2,0)</f>
        <v>0</v>
      </c>
      <c r="T396" s="1"/>
    </row>
    <row r="397" spans="2:21" customFormat="1" x14ac:dyDescent="0.25">
      <c r="B397" s="84"/>
      <c r="C397" s="85"/>
      <c r="D397" s="45" t="str">
        <f>Basisgegevens!$D$86</f>
        <v>brekerzand</v>
      </c>
      <c r="E397" s="85"/>
      <c r="F397" s="85"/>
      <c r="G397" s="85"/>
      <c r="H397" s="100" t="s">
        <v>168</v>
      </c>
      <c r="I397" s="87">
        <v>1</v>
      </c>
      <c r="J397" s="9"/>
      <c r="K397" s="87">
        <f>(K386*0.05*1.7/(1.45/1.53))</f>
        <v>0</v>
      </c>
      <c r="L397" s="86"/>
      <c r="M397" s="98">
        <f>Basisgegevens!$M$86</f>
        <v>8.5</v>
      </c>
      <c r="N397" s="86"/>
      <c r="O397" s="81">
        <f>M397*K397</f>
        <v>0</v>
      </c>
      <c r="P397" s="99"/>
      <c r="R397" s="58" t="s">
        <v>364</v>
      </c>
      <c r="S397" s="58" t="str">
        <f>D400</f>
        <v>betontegel grijs, 30/30 dik 45</v>
      </c>
      <c r="T397" s="1"/>
    </row>
    <row r="398" spans="2:21" x14ac:dyDescent="0.25">
      <c r="B398" s="84"/>
      <c r="C398" s="85"/>
      <c r="D398" s="86" t="s">
        <v>270</v>
      </c>
      <c r="E398" s="85"/>
      <c r="F398" s="85"/>
      <c r="G398" s="85"/>
      <c r="H398" s="100"/>
      <c r="I398" s="90"/>
      <c r="J398" s="9"/>
      <c r="K398" s="87"/>
      <c r="L398" s="86"/>
      <c r="M398" s="98"/>
      <c r="N398" s="86"/>
      <c r="O398" s="81"/>
      <c r="P398" s="99"/>
      <c r="Q398"/>
      <c r="R398" s="109">
        <v>3</v>
      </c>
      <c r="S398" s="96">
        <f>K386/11*9*1</f>
        <v>0</v>
      </c>
      <c r="T398" s="118">
        <v>1</v>
      </c>
      <c r="U398"/>
    </row>
    <row r="399" spans="2:21" x14ac:dyDescent="0.25">
      <c r="B399" s="84"/>
      <c r="C399" s="85"/>
      <c r="D399" s="45" t="str">
        <f>Basisgegevens!$D$107</f>
        <v xml:space="preserve">betontegel grijs, 30/15 dik 45 </v>
      </c>
      <c r="E399" s="85"/>
      <c r="F399" s="85"/>
      <c r="G399" s="85"/>
      <c r="H399" s="100" t="s">
        <v>59</v>
      </c>
      <c r="I399" s="90">
        <v>1</v>
      </c>
      <c r="J399" s="9"/>
      <c r="K399" s="87">
        <f>S396</f>
        <v>0</v>
      </c>
      <c r="L399" s="86"/>
      <c r="M399" s="88">
        <f>Basisgegevens!$M$107</f>
        <v>9.25</v>
      </c>
      <c r="N399" s="86"/>
      <c r="O399" s="81">
        <f>K399*M399</f>
        <v>0</v>
      </c>
      <c r="P399" s="99"/>
      <c r="Q399"/>
      <c r="R399" s="17">
        <v>2</v>
      </c>
      <c r="S399" s="96">
        <f>K386/11*9*0.15</f>
        <v>0</v>
      </c>
      <c r="T399" s="118">
        <v>0.15</v>
      </c>
      <c r="U399"/>
    </row>
    <row r="400" spans="2:21" x14ac:dyDescent="0.25">
      <c r="B400" s="84"/>
      <c r="C400" s="85"/>
      <c r="D400" s="45" t="str">
        <f>Basisgegevens!$D$108</f>
        <v>betontegel grijs, 30/30 dik 45</v>
      </c>
      <c r="E400" s="85"/>
      <c r="F400" s="85"/>
      <c r="G400" s="85"/>
      <c r="H400" s="100" t="s">
        <v>59</v>
      </c>
      <c r="I400" s="90">
        <v>1</v>
      </c>
      <c r="J400" s="9"/>
      <c r="K400" s="87">
        <f>S400</f>
        <v>0</v>
      </c>
      <c r="L400" s="86"/>
      <c r="M400" s="88">
        <f>Basisgegevens!$M$108</f>
        <v>6.5</v>
      </c>
      <c r="N400" s="86"/>
      <c r="O400" s="81">
        <f>K400*M400</f>
        <v>0</v>
      </c>
      <c r="P400" s="99"/>
      <c r="Q400"/>
      <c r="R400" t="s">
        <v>365</v>
      </c>
      <c r="S400" s="126">
        <f>VLOOKUP(Input!$R$14,R398:S399,2,0)</f>
        <v>0</v>
      </c>
      <c r="U400"/>
    </row>
    <row r="401" spans="2:21" customFormat="1" x14ac:dyDescent="0.25">
      <c r="B401" s="84"/>
      <c r="C401" s="85"/>
      <c r="D401" s="86" t="s">
        <v>403</v>
      </c>
      <c r="E401" s="85"/>
      <c r="F401" s="85"/>
      <c r="G401" s="85"/>
      <c r="H401" s="86" t="s">
        <v>29</v>
      </c>
      <c r="I401" s="89"/>
      <c r="J401" s="9"/>
      <c r="K401" s="87"/>
      <c r="L401" s="86"/>
      <c r="M401" s="86"/>
      <c r="N401" s="86"/>
      <c r="O401" s="86"/>
      <c r="P401" s="99"/>
      <c r="R401" s="58" t="s">
        <v>364</v>
      </c>
      <c r="S401" s="58" t="str">
        <f>D407</f>
        <v>opsluitband 80x200</v>
      </c>
      <c r="T401" s="1"/>
      <c r="U401" s="1"/>
    </row>
    <row r="402" spans="2:21" customFormat="1" x14ac:dyDescent="0.25">
      <c r="B402" s="84"/>
      <c r="C402" s="85"/>
      <c r="D402" s="11" t="str">
        <f>Basisgegevens!$D$14</f>
        <v>stratenmaker</v>
      </c>
      <c r="E402" s="85"/>
      <c r="F402" s="85"/>
      <c r="G402" s="85"/>
      <c r="H402" s="86" t="s">
        <v>111</v>
      </c>
      <c r="I402" s="87">
        <v>20</v>
      </c>
      <c r="J402" s="9"/>
      <c r="K402" s="87">
        <f>$K$407/I402</f>
        <v>0</v>
      </c>
      <c r="L402" s="86"/>
      <c r="M402" s="98">
        <f>Basisgegevens!$M$14</f>
        <v>38</v>
      </c>
      <c r="N402" s="86"/>
      <c r="O402" s="81">
        <f>M402*K402</f>
        <v>0</v>
      </c>
      <c r="P402" s="99"/>
      <c r="R402" s="109">
        <v>3</v>
      </c>
      <c r="S402" s="96">
        <f>K386/1.53*1</f>
        <v>0</v>
      </c>
      <c r="T402" s="118">
        <v>1</v>
      </c>
      <c r="U402" s="1"/>
    </row>
    <row r="403" spans="2:21" customFormat="1" x14ac:dyDescent="0.25">
      <c r="B403" s="84"/>
      <c r="C403" s="85"/>
      <c r="D403" s="11" t="str">
        <f>Basisgegevens!$D$14</f>
        <v>stratenmaker</v>
      </c>
      <c r="E403" s="85"/>
      <c r="F403" s="85"/>
      <c r="G403" s="85"/>
      <c r="H403" s="86" t="s">
        <v>111</v>
      </c>
      <c r="I403" s="87">
        <v>20</v>
      </c>
      <c r="J403" s="9"/>
      <c r="K403" s="87">
        <f>$K$407/I403</f>
        <v>0</v>
      </c>
      <c r="L403" s="86"/>
      <c r="M403" s="98">
        <f>Basisgegevens!$M$14</f>
        <v>38</v>
      </c>
      <c r="N403" s="86"/>
      <c r="O403" s="81">
        <f>M403*K403</f>
        <v>0</v>
      </c>
      <c r="P403" s="99"/>
      <c r="R403" s="17">
        <v>2</v>
      </c>
      <c r="S403" s="96">
        <f>K386/1.53*0.15</f>
        <v>0</v>
      </c>
      <c r="T403" s="118">
        <v>0.15</v>
      </c>
    </row>
    <row r="404" spans="2:21" customFormat="1" x14ac:dyDescent="0.25">
      <c r="B404" s="84"/>
      <c r="C404" s="85"/>
      <c r="D404" s="45" t="str">
        <f>Basisgegevens!$D$13</f>
        <v>grondwerker</v>
      </c>
      <c r="E404" s="85"/>
      <c r="F404" s="85"/>
      <c r="G404" s="85"/>
      <c r="H404" s="100" t="s">
        <v>111</v>
      </c>
      <c r="I404" s="87">
        <v>20</v>
      </c>
      <c r="J404" s="9"/>
      <c r="K404" s="87">
        <f>$K$407/I404</f>
        <v>0</v>
      </c>
      <c r="L404" s="86"/>
      <c r="M404" s="98">
        <f>Basisgegevens!$M$13</f>
        <v>35</v>
      </c>
      <c r="N404" s="86"/>
      <c r="O404" s="81">
        <f>M404*K404</f>
        <v>0</v>
      </c>
      <c r="P404" s="99"/>
      <c r="R404" t="s">
        <v>365</v>
      </c>
      <c r="S404" s="126">
        <f>VLOOKUP(Input!$R$14,R402:S403,2,0)</f>
        <v>0</v>
      </c>
      <c r="T404" s="1"/>
    </row>
    <row r="405" spans="2:21" customFormat="1" x14ac:dyDescent="0.25">
      <c r="B405" s="84"/>
      <c r="C405" s="85"/>
      <c r="D405" s="11" t="str">
        <f>Basisgegevens!$D$38</f>
        <v>wiellaadschop 1 m³</v>
      </c>
      <c r="E405" s="85"/>
      <c r="F405" s="85"/>
      <c r="G405" s="85"/>
      <c r="H405" s="86" t="s">
        <v>111</v>
      </c>
      <c r="I405" s="87">
        <v>125</v>
      </c>
      <c r="J405" s="9"/>
      <c r="K405" s="87">
        <f>$K$407/I405</f>
        <v>0</v>
      </c>
      <c r="L405" s="86"/>
      <c r="M405" s="98">
        <f>Basisgegevens!$M$38</f>
        <v>67.5</v>
      </c>
      <c r="N405" s="86"/>
      <c r="O405" s="81">
        <f>K405*M405</f>
        <v>0</v>
      </c>
      <c r="P405" s="99"/>
      <c r="R405" s="17"/>
      <c r="S405" s="96"/>
      <c r="T405" s="118"/>
    </row>
    <row r="406" spans="2:21" customFormat="1" x14ac:dyDescent="0.25">
      <c r="B406" s="110"/>
      <c r="C406" s="111"/>
      <c r="D406" s="86" t="s">
        <v>214</v>
      </c>
      <c r="E406" s="85"/>
      <c r="F406" s="85"/>
      <c r="G406" s="85"/>
      <c r="H406" s="100"/>
      <c r="I406" s="87"/>
      <c r="J406" s="9"/>
      <c r="K406" s="87"/>
      <c r="L406" s="86"/>
      <c r="M406" s="98"/>
      <c r="N406" s="86"/>
      <c r="O406" s="81"/>
      <c r="P406" s="112"/>
      <c r="S406" s="126"/>
      <c r="T406" s="1"/>
    </row>
    <row r="407" spans="2:21" customFormat="1" x14ac:dyDescent="0.25">
      <c r="B407" s="110"/>
      <c r="C407" s="111"/>
      <c r="D407" s="45" t="str">
        <f>Basisgegevens!$D$113</f>
        <v>opsluitband 80x200</v>
      </c>
      <c r="E407" s="85"/>
      <c r="F407" s="85"/>
      <c r="G407" s="85"/>
      <c r="H407" s="100" t="s">
        <v>135</v>
      </c>
      <c r="I407" s="87">
        <v>1</v>
      </c>
      <c r="J407" s="9"/>
      <c r="K407" s="87">
        <f>S404</f>
        <v>0</v>
      </c>
      <c r="L407" s="86"/>
      <c r="M407" s="98">
        <f>Basisgegevens!$M$114</f>
        <v>10</v>
      </c>
      <c r="N407" s="86"/>
      <c r="O407" s="81">
        <f>M407*K407</f>
        <v>0</v>
      </c>
      <c r="P407" s="112"/>
      <c r="R407" s="17"/>
      <c r="S407" s="96"/>
      <c r="T407" s="118"/>
    </row>
    <row r="408" spans="2:21" ht="15" customHeight="1" x14ac:dyDescent="0.25">
      <c r="B408" s="73"/>
      <c r="C408" s="83"/>
      <c r="D408" s="83" t="s">
        <v>22</v>
      </c>
      <c r="E408" s="83"/>
      <c r="F408" s="83"/>
      <c r="G408" s="83"/>
      <c r="H408" s="83" t="str">
        <f>H386</f>
        <v>m2</v>
      </c>
      <c r="I408" s="80"/>
      <c r="J408" s="83"/>
      <c r="K408" s="80">
        <f>K386</f>
        <v>0</v>
      </c>
      <c r="L408" s="83"/>
      <c r="M408" s="103" t="e">
        <f>O408/K386</f>
        <v>#DIV/0!</v>
      </c>
      <c r="N408" s="83"/>
      <c r="O408" s="103">
        <f>SUM(O387:O407)</f>
        <v>0</v>
      </c>
      <c r="P408" s="104"/>
      <c r="Q408"/>
      <c r="R408"/>
      <c r="S408" s="126"/>
    </row>
    <row r="409" spans="2:21" ht="5.0999999999999996" customHeight="1" thickBot="1" x14ac:dyDescent="0.3">
      <c r="B409" s="12"/>
      <c r="C409" s="13"/>
      <c r="D409" s="13"/>
      <c r="E409" s="13"/>
      <c r="F409" s="13"/>
      <c r="G409" s="13"/>
      <c r="H409" s="13"/>
      <c r="I409" s="15"/>
      <c r="J409" s="13"/>
      <c r="K409" s="15"/>
      <c r="L409" s="13"/>
      <c r="M409" s="13"/>
      <c r="N409" s="13"/>
      <c r="O409" s="13"/>
      <c r="P409" s="14"/>
    </row>
    <row r="410" spans="2:21" ht="30" customHeight="1" thickBot="1" x14ac:dyDescent="0.3">
      <c r="Q410"/>
      <c r="R410"/>
    </row>
    <row r="411" spans="2:21" ht="5.0999999999999996" customHeight="1" x14ac:dyDescent="0.25">
      <c r="B411" s="3"/>
      <c r="C411" s="4"/>
      <c r="D411" s="4"/>
      <c r="E411" s="4"/>
      <c r="F411" s="4"/>
      <c r="G411" s="4"/>
      <c r="H411" s="55"/>
      <c r="I411" s="4"/>
      <c r="J411" s="4"/>
      <c r="K411" s="4"/>
      <c r="L411" s="4"/>
      <c r="M411" s="4"/>
      <c r="N411" s="4"/>
      <c r="O411" s="4"/>
      <c r="P411" s="5"/>
      <c r="Q411"/>
    </row>
    <row r="412" spans="2:21" x14ac:dyDescent="0.25">
      <c r="B412" s="34"/>
      <c r="C412" s="94"/>
      <c r="D412" s="36"/>
      <c r="E412" s="36"/>
      <c r="F412" s="36"/>
      <c r="G412" s="36"/>
      <c r="H412" s="36"/>
      <c r="I412" s="44"/>
      <c r="J412" s="36"/>
      <c r="K412" s="44"/>
      <c r="L412" s="36"/>
      <c r="M412" s="36"/>
      <c r="N412" s="36"/>
      <c r="O412" s="36"/>
      <c r="P412" s="37"/>
      <c r="Q412"/>
    </row>
    <row r="413" spans="2:21" x14ac:dyDescent="0.25">
      <c r="B413" s="34"/>
      <c r="C413" s="35" t="s">
        <v>436</v>
      </c>
      <c r="D413" s="36"/>
      <c r="E413" s="36"/>
      <c r="F413" s="36"/>
      <c r="G413" s="36"/>
      <c r="H413"/>
      <c r="I413" s="44"/>
      <c r="J413"/>
      <c r="K413" s="44"/>
      <c r="L413" s="36"/>
      <c r="O413" s="71" t="s">
        <v>62</v>
      </c>
      <c r="P413" s="37"/>
      <c r="Q413"/>
      <c r="R413" s="105" t="s">
        <v>137</v>
      </c>
    </row>
    <row r="414" spans="2:21" ht="15.75" thickBot="1" x14ac:dyDescent="0.3">
      <c r="B414" s="68"/>
      <c r="C414" s="48" t="s">
        <v>56</v>
      </c>
      <c r="D414" s="48" t="s">
        <v>55</v>
      </c>
      <c r="E414" s="50"/>
      <c r="F414" s="48"/>
      <c r="G414" s="48"/>
      <c r="H414" s="48" t="s">
        <v>107</v>
      </c>
      <c r="I414" s="78" t="s">
        <v>108</v>
      </c>
      <c r="J414" s="69"/>
      <c r="K414" s="82" t="s">
        <v>110</v>
      </c>
      <c r="L414" s="48"/>
      <c r="M414" s="48" t="s">
        <v>109</v>
      </c>
      <c r="N414" s="48"/>
      <c r="O414" s="48" t="s">
        <v>19</v>
      </c>
      <c r="P414" s="70"/>
      <c r="Q414"/>
      <c r="R414" s="1" t="s">
        <v>462</v>
      </c>
    </row>
    <row r="415" spans="2:21" x14ac:dyDescent="0.25">
      <c r="B415" s="84"/>
      <c r="C415" s="85"/>
      <c r="D415" s="86" t="s">
        <v>447</v>
      </c>
      <c r="E415" s="85"/>
      <c r="F415" s="85"/>
      <c r="G415" s="85"/>
      <c r="H415" s="86" t="s">
        <v>60</v>
      </c>
      <c r="I415" s="89"/>
      <c r="J415" s="9"/>
      <c r="K415" s="87">
        <f>Input!$G$51</f>
        <v>0</v>
      </c>
      <c r="L415" s="86"/>
      <c r="M415" s="86"/>
      <c r="N415" s="86"/>
      <c r="O415" s="86"/>
      <c r="P415" s="99"/>
      <c r="Q415"/>
      <c r="R415" s="1" t="s">
        <v>463</v>
      </c>
    </row>
    <row r="416" spans="2:21" customFormat="1" x14ac:dyDescent="0.25">
      <c r="B416" s="84"/>
      <c r="C416" s="85"/>
      <c r="D416" s="11" t="str">
        <f>Basisgegevens!$D$14</f>
        <v>stratenmaker</v>
      </c>
      <c r="E416" s="85"/>
      <c r="F416" s="85"/>
      <c r="G416" s="85"/>
      <c r="H416" s="86" t="s">
        <v>111</v>
      </c>
      <c r="I416" s="87">
        <v>5</v>
      </c>
      <c r="J416" s="9"/>
      <c r="K416" s="87">
        <f>5.4*5/I416*K415</f>
        <v>0</v>
      </c>
      <c r="L416" s="86"/>
      <c r="M416" s="98">
        <f>Basisgegevens!$M$14</f>
        <v>38</v>
      </c>
      <c r="N416" s="86"/>
      <c r="O416" s="81">
        <f>M416*K416</f>
        <v>0</v>
      </c>
      <c r="P416" s="99"/>
      <c r="R416" t="s">
        <v>465</v>
      </c>
      <c r="S416" s="1"/>
      <c r="T416" s="1"/>
      <c r="U416" s="1"/>
    </row>
    <row r="417" spans="2:21" customFormat="1" x14ac:dyDescent="0.25">
      <c r="B417" s="84"/>
      <c r="C417" s="85"/>
      <c r="D417" s="11" t="str">
        <f>Basisgegevens!$D$14</f>
        <v>stratenmaker</v>
      </c>
      <c r="E417" s="85"/>
      <c r="F417" s="85"/>
      <c r="G417" s="85"/>
      <c r="H417" s="86" t="s">
        <v>111</v>
      </c>
      <c r="I417" s="87">
        <v>5</v>
      </c>
      <c r="J417" s="9"/>
      <c r="K417" s="87">
        <f>5.4*5/I417*K415</f>
        <v>0</v>
      </c>
      <c r="L417" s="86"/>
      <c r="M417" s="98">
        <f>Basisgegevens!$M$14</f>
        <v>38</v>
      </c>
      <c r="N417" s="86"/>
      <c r="O417" s="81">
        <f>M417*K417</f>
        <v>0</v>
      </c>
      <c r="P417" s="99"/>
      <c r="R417" t="s">
        <v>450</v>
      </c>
      <c r="S417" s="1"/>
      <c r="T417" s="1"/>
      <c r="U417" s="1"/>
    </row>
    <row r="418" spans="2:21" customFormat="1" x14ac:dyDescent="0.25">
      <c r="B418" s="84"/>
      <c r="C418" s="85"/>
      <c r="D418" s="45" t="str">
        <f>Basisgegevens!$D$13</f>
        <v>grondwerker</v>
      </c>
      <c r="E418" s="85"/>
      <c r="F418" s="85"/>
      <c r="G418" s="85"/>
      <c r="H418" s="100" t="s">
        <v>111</v>
      </c>
      <c r="I418" s="87">
        <v>5</v>
      </c>
      <c r="J418" s="9"/>
      <c r="K418" s="87">
        <f>5.4*5/I418*K415</f>
        <v>0</v>
      </c>
      <c r="L418" s="86"/>
      <c r="M418" s="98">
        <f>Basisgegevens!$M$13</f>
        <v>35</v>
      </c>
      <c r="N418" s="86"/>
      <c r="O418" s="81">
        <f>M418*K418</f>
        <v>0</v>
      </c>
      <c r="P418" s="99"/>
      <c r="R418" s="1" t="s">
        <v>449</v>
      </c>
    </row>
    <row r="419" spans="2:21" customFormat="1" x14ac:dyDescent="0.25">
      <c r="B419" s="84"/>
      <c r="C419" s="85"/>
      <c r="D419" s="11" t="str">
        <f>Basisgegevens!$D$38</f>
        <v>wiellaadschop 1 m³</v>
      </c>
      <c r="E419" s="85"/>
      <c r="F419" s="85"/>
      <c r="G419" s="85"/>
      <c r="H419" s="86" t="s">
        <v>111</v>
      </c>
      <c r="I419" s="87">
        <v>125</v>
      </c>
      <c r="J419" s="9"/>
      <c r="K419" s="87">
        <f>5.4*5/I419*K415</f>
        <v>0</v>
      </c>
      <c r="L419" s="86"/>
      <c r="M419" s="98">
        <f>Basisgegevens!$M$38</f>
        <v>67.5</v>
      </c>
      <c r="N419" s="86"/>
      <c r="O419" s="81">
        <f>K419*M419</f>
        <v>0</v>
      </c>
      <c r="P419" s="99"/>
      <c r="R419" s="1"/>
      <c r="S419" s="1"/>
      <c r="T419" s="1"/>
      <c r="U419" s="1"/>
    </row>
    <row r="420" spans="2:21" customFormat="1" x14ac:dyDescent="0.25">
      <c r="B420" s="84"/>
      <c r="C420" s="85"/>
      <c r="D420" s="11" t="str">
        <f>Basisgegevens!$D$43</f>
        <v>trilplaat 1000 kg, excl. bediening</v>
      </c>
      <c r="E420" s="85"/>
      <c r="F420" s="85"/>
      <c r="G420" s="85"/>
      <c r="H420" s="86" t="s">
        <v>170</v>
      </c>
      <c r="I420" s="87">
        <v>1000</v>
      </c>
      <c r="J420" s="9"/>
      <c r="K420" s="87">
        <f>5.4*5/I420*K415</f>
        <v>0</v>
      </c>
      <c r="L420" s="86"/>
      <c r="M420" s="98">
        <f>Basisgegevens!$M$43</f>
        <v>20</v>
      </c>
      <c r="N420" s="86"/>
      <c r="O420" s="81">
        <f>K420*M420</f>
        <v>0</v>
      </c>
      <c r="P420" s="99"/>
      <c r="R420" s="58" t="s">
        <v>364</v>
      </c>
      <c r="S420" s="58" t="str">
        <f>D428</f>
        <v>bss KF antraciet, dik 80</v>
      </c>
      <c r="T420" s="1"/>
    </row>
    <row r="421" spans="2:21" customFormat="1" x14ac:dyDescent="0.25">
      <c r="B421" s="84"/>
      <c r="C421" s="85"/>
      <c r="D421" s="11" t="str">
        <f>Basisgegevens!$D$86</f>
        <v>brekerzand</v>
      </c>
      <c r="E421" s="85"/>
      <c r="F421" s="85"/>
      <c r="G421" s="85"/>
      <c r="H421" s="86" t="s">
        <v>168</v>
      </c>
      <c r="I421" s="87">
        <v>1</v>
      </c>
      <c r="J421" s="9"/>
      <c r="K421" s="87">
        <f>5.4*5/100*1/1.7*K415</f>
        <v>0</v>
      </c>
      <c r="L421" s="86"/>
      <c r="M421" s="98">
        <f>Basisgegevens!$M$86</f>
        <v>8.5</v>
      </c>
      <c r="N421" s="86"/>
      <c r="O421" s="81">
        <f>K421*M421</f>
        <v>0</v>
      </c>
      <c r="P421" s="99"/>
      <c r="R421" s="109">
        <v>3</v>
      </c>
      <c r="S421" s="96">
        <f>K415*5.4*5*45*1/1000*0.38</f>
        <v>0</v>
      </c>
      <c r="T421" s="118">
        <v>1</v>
      </c>
    </row>
    <row r="422" spans="2:21" customFormat="1" x14ac:dyDescent="0.25">
      <c r="B422" s="84"/>
      <c r="C422" s="85"/>
      <c r="D422" s="10" t="s">
        <v>209</v>
      </c>
      <c r="E422" s="85"/>
      <c r="F422" s="85"/>
      <c r="G422" s="85"/>
      <c r="H422" s="86"/>
      <c r="I422" s="87"/>
      <c r="J422" s="9"/>
      <c r="K422" s="87"/>
      <c r="L422" s="86"/>
      <c r="M422" s="98"/>
      <c r="N422" s="86"/>
      <c r="O422" s="81"/>
      <c r="P422" s="99"/>
      <c r="R422" s="17">
        <v>2</v>
      </c>
      <c r="S422" s="96">
        <f>K415*5.4*5*45*0.15/1000*0.38</f>
        <v>0</v>
      </c>
      <c r="T422" s="118">
        <v>0.15</v>
      </c>
    </row>
    <row r="423" spans="2:21" customFormat="1" x14ac:dyDescent="0.25">
      <c r="B423" s="84"/>
      <c r="C423" s="85"/>
      <c r="D423" s="11" t="str">
        <f>Basisgegevens!$D$38</f>
        <v>wiellaadschop 1 m³</v>
      </c>
      <c r="E423" s="85"/>
      <c r="F423" s="85"/>
      <c r="G423" s="85"/>
      <c r="H423" s="86" t="s">
        <v>111</v>
      </c>
      <c r="I423" s="87">
        <v>125</v>
      </c>
      <c r="J423" s="9"/>
      <c r="K423" s="87">
        <f>5.4*5/I423*K415</f>
        <v>0</v>
      </c>
      <c r="L423" s="86"/>
      <c r="M423" s="98">
        <f>Basisgegevens!$M$38</f>
        <v>67.5</v>
      </c>
      <c r="N423" s="86"/>
      <c r="O423" s="81">
        <f>K423*M423</f>
        <v>0</v>
      </c>
      <c r="P423" s="99"/>
      <c r="R423" t="s">
        <v>365</v>
      </c>
      <c r="S423" s="126">
        <f>VLOOKUP(Input!$R$14,R421:S422,2,0)</f>
        <v>0</v>
      </c>
      <c r="T423" s="1"/>
    </row>
    <row r="424" spans="2:21" customFormat="1" x14ac:dyDescent="0.25">
      <c r="B424" s="84"/>
      <c r="C424" s="85"/>
      <c r="D424" s="45" t="str">
        <f>Basisgegevens!$D$13</f>
        <v>grondwerker</v>
      </c>
      <c r="E424" s="85"/>
      <c r="F424" s="85"/>
      <c r="G424" s="85"/>
      <c r="H424" s="100" t="s">
        <v>111</v>
      </c>
      <c r="I424" s="87">
        <v>125</v>
      </c>
      <c r="J424" s="9"/>
      <c r="K424" s="87">
        <f>5.4*5/I424*K415</f>
        <v>0</v>
      </c>
      <c r="L424" s="86"/>
      <c r="M424" s="98">
        <f>Basisgegevens!$M$13</f>
        <v>35</v>
      </c>
      <c r="N424" s="86"/>
      <c r="O424" s="81">
        <f>M424*K424</f>
        <v>0</v>
      </c>
      <c r="P424" s="99"/>
      <c r="R424" s="58" t="s">
        <v>364</v>
      </c>
      <c r="S424" s="58" t="str">
        <f>D429</f>
        <v>bss KF wit verkeerssteen, dik 80</v>
      </c>
      <c r="T424" s="1"/>
    </row>
    <row r="425" spans="2:21" customFormat="1" x14ac:dyDescent="0.25">
      <c r="B425" s="84"/>
      <c r="C425" s="85"/>
      <c r="D425" s="86" t="s">
        <v>210</v>
      </c>
      <c r="E425" s="85"/>
      <c r="F425" s="85"/>
      <c r="G425" s="85"/>
      <c r="H425" s="100"/>
      <c r="I425" s="87"/>
      <c r="J425" s="9"/>
      <c r="K425" s="87"/>
      <c r="L425" s="86"/>
      <c r="M425" s="98"/>
      <c r="N425" s="86"/>
      <c r="O425" s="81"/>
      <c r="P425" s="99"/>
      <c r="R425" s="109">
        <v>3</v>
      </c>
      <c r="S425" s="96">
        <f>K415*5.4*5*45*1/1000*0.32</f>
        <v>0</v>
      </c>
      <c r="T425" s="118">
        <v>1</v>
      </c>
    </row>
    <row r="426" spans="2:21" customFormat="1" x14ac:dyDescent="0.25">
      <c r="B426" s="84"/>
      <c r="C426" s="85"/>
      <c r="D426" s="45" t="str">
        <f>Basisgegevens!$D$86</f>
        <v>brekerzand</v>
      </c>
      <c r="E426" s="85"/>
      <c r="F426" s="85"/>
      <c r="G426" s="85"/>
      <c r="H426" s="100" t="s">
        <v>168</v>
      </c>
      <c r="I426" s="87">
        <v>1</v>
      </c>
      <c r="J426" s="9"/>
      <c r="K426" s="87">
        <f>(K415*5.4*5)*(0.05*1.7)</f>
        <v>0</v>
      </c>
      <c r="L426" s="86"/>
      <c r="M426" s="98">
        <f>Basisgegevens!$M$86</f>
        <v>8.5</v>
      </c>
      <c r="N426" s="86"/>
      <c r="O426" s="81">
        <f>M426*K426</f>
        <v>0</v>
      </c>
      <c r="P426" s="99"/>
      <c r="R426" s="17">
        <v>2</v>
      </c>
      <c r="S426" s="96">
        <f>K415*5.4*5*45*0.15/1000*0.32</f>
        <v>0</v>
      </c>
      <c r="T426" s="118">
        <v>0.15</v>
      </c>
    </row>
    <row r="427" spans="2:21" customFormat="1" x14ac:dyDescent="0.25">
      <c r="B427" s="84"/>
      <c r="C427" s="85"/>
      <c r="D427" s="86" t="s">
        <v>452</v>
      </c>
      <c r="E427" s="85"/>
      <c r="F427" s="85"/>
      <c r="G427" s="85"/>
      <c r="H427" s="100"/>
      <c r="I427" s="90"/>
      <c r="J427" s="9"/>
      <c r="K427" s="87"/>
      <c r="L427" s="86"/>
      <c r="M427" s="98"/>
      <c r="N427" s="86"/>
      <c r="O427" s="81"/>
      <c r="P427" s="99"/>
      <c r="R427" t="s">
        <v>365</v>
      </c>
      <c r="S427" s="126">
        <f>VLOOKUP(Input!$R$14,R425:S426,2,0)</f>
        <v>0</v>
      </c>
      <c r="T427" s="1"/>
    </row>
    <row r="428" spans="2:21" customFormat="1" x14ac:dyDescent="0.25">
      <c r="B428" s="84"/>
      <c r="C428" s="85"/>
      <c r="D428" s="45" t="str">
        <f>Basisgegevens!$D$103</f>
        <v>bss KF antraciet, dik 80</v>
      </c>
      <c r="E428" s="85"/>
      <c r="F428" s="85"/>
      <c r="G428" s="85"/>
      <c r="H428" s="100" t="s">
        <v>208</v>
      </c>
      <c r="I428" s="90">
        <v>1</v>
      </c>
      <c r="J428" s="9"/>
      <c r="K428" s="87">
        <f>S423</f>
        <v>0</v>
      </c>
      <c r="L428" s="86"/>
      <c r="M428" s="88">
        <f>Basisgegevens!$M$103</f>
        <v>288</v>
      </c>
      <c r="N428" s="86"/>
      <c r="O428" s="81">
        <f>K428*M428</f>
        <v>0</v>
      </c>
      <c r="P428" s="99"/>
      <c r="R428" s="58" t="s">
        <v>364</v>
      </c>
      <c r="S428" s="58" t="str">
        <f>D430</f>
        <v>bss KF grijs, dik 80</v>
      </c>
      <c r="T428" s="1"/>
    </row>
    <row r="429" spans="2:21" customFormat="1" x14ac:dyDescent="0.25">
      <c r="B429" s="84"/>
      <c r="C429" s="85"/>
      <c r="D429" s="45" t="str">
        <f>Basisgegevens!$D$104</f>
        <v>bss KF wit verkeerssteen, dik 80</v>
      </c>
      <c r="E429" s="85"/>
      <c r="F429" s="85"/>
      <c r="G429" s="85"/>
      <c r="H429" s="100" t="s">
        <v>208</v>
      </c>
      <c r="I429" s="90">
        <v>1</v>
      </c>
      <c r="J429" s="9"/>
      <c r="K429" s="87">
        <f>S427</f>
        <v>0</v>
      </c>
      <c r="L429" s="86"/>
      <c r="M429" s="88">
        <f>Basisgegevens!$M$104</f>
        <v>630</v>
      </c>
      <c r="N429" s="86"/>
      <c r="O429" s="81">
        <f>K429*M429</f>
        <v>0</v>
      </c>
      <c r="P429" s="99"/>
      <c r="R429" s="109">
        <v>3</v>
      </c>
      <c r="S429" s="96">
        <f>K415*5.4*5*45*1/1000*0.3</f>
        <v>0</v>
      </c>
      <c r="T429" s="118">
        <v>1</v>
      </c>
    </row>
    <row r="430" spans="2:21" customFormat="1" x14ac:dyDescent="0.25">
      <c r="B430" s="84"/>
      <c r="C430" s="85"/>
      <c r="D430" s="45" t="str">
        <f>Basisgegevens!$D$105</f>
        <v>bss KF grijs, dik 80</v>
      </c>
      <c r="E430" s="85"/>
      <c r="F430" s="85"/>
      <c r="G430" s="85"/>
      <c r="H430" s="100" t="s">
        <v>208</v>
      </c>
      <c r="I430" s="90">
        <v>2</v>
      </c>
      <c r="J430" s="9"/>
      <c r="K430" s="87">
        <f>S431</f>
        <v>0</v>
      </c>
      <c r="L430" s="86"/>
      <c r="M430" s="88">
        <f>Basisgegevens!$M$105</f>
        <v>289</v>
      </c>
      <c r="N430" s="86"/>
      <c r="O430" s="81">
        <f>K430*M430</f>
        <v>0</v>
      </c>
      <c r="P430" s="99"/>
      <c r="R430" s="17">
        <v>2</v>
      </c>
      <c r="S430" s="96">
        <f>K415*5.4*5*45*0.15/1000*0.3</f>
        <v>0</v>
      </c>
      <c r="T430" s="118">
        <v>0.15</v>
      </c>
    </row>
    <row r="431" spans="2:21" x14ac:dyDescent="0.25">
      <c r="B431" s="84"/>
      <c r="C431" s="85"/>
      <c r="D431" s="86" t="s">
        <v>451</v>
      </c>
      <c r="E431" s="85"/>
      <c r="F431" s="85"/>
      <c r="G431" s="85"/>
      <c r="H431" s="86" t="s">
        <v>60</v>
      </c>
      <c r="I431" s="89"/>
      <c r="J431" s="9"/>
      <c r="K431" s="87"/>
      <c r="L431" s="86"/>
      <c r="M431" s="86"/>
      <c r="N431" s="86"/>
      <c r="O431" s="86"/>
      <c r="P431" s="99"/>
      <c r="Q431"/>
      <c r="R431" t="s">
        <v>365</v>
      </c>
      <c r="S431" s="126">
        <f>VLOOKUP(Input!$R$14,R429:S430,2,0)</f>
        <v>0</v>
      </c>
      <c r="U431"/>
    </row>
    <row r="432" spans="2:21" customFormat="1" x14ac:dyDescent="0.25">
      <c r="B432" s="84"/>
      <c r="C432" s="85"/>
      <c r="D432" s="11" t="str">
        <f>Basisgegevens!$D$14</f>
        <v>stratenmaker</v>
      </c>
      <c r="E432" s="85"/>
      <c r="F432" s="85"/>
      <c r="G432" s="85"/>
      <c r="H432" s="86" t="s">
        <v>111</v>
      </c>
      <c r="I432" s="87">
        <v>12.5</v>
      </c>
      <c r="J432" s="9"/>
      <c r="K432" s="87">
        <f>125/I432*K415</f>
        <v>0</v>
      </c>
      <c r="L432" s="86"/>
      <c r="M432" s="98">
        <f>Basisgegevens!$M$14</f>
        <v>38</v>
      </c>
      <c r="N432" s="86"/>
      <c r="O432" s="81">
        <f>M432*K432</f>
        <v>0</v>
      </c>
      <c r="P432" s="99"/>
      <c r="R432" s="58" t="s">
        <v>364</v>
      </c>
      <c r="S432" s="58" t="str">
        <f>D444</f>
        <v>bss KF engels rood, dik 80</v>
      </c>
      <c r="T432" s="1"/>
      <c r="U432" s="1"/>
    </row>
    <row r="433" spans="2:21" customFormat="1" x14ac:dyDescent="0.25">
      <c r="B433" s="84"/>
      <c r="C433" s="85"/>
      <c r="D433" s="11" t="str">
        <f>Basisgegevens!$D$14</f>
        <v>stratenmaker</v>
      </c>
      <c r="E433" s="85"/>
      <c r="F433" s="85"/>
      <c r="G433" s="85"/>
      <c r="H433" s="86" t="s">
        <v>111</v>
      </c>
      <c r="I433" s="87">
        <v>12.5</v>
      </c>
      <c r="J433" s="9"/>
      <c r="K433" s="87">
        <f>125/I433*K415</f>
        <v>0</v>
      </c>
      <c r="L433" s="86"/>
      <c r="M433" s="98">
        <f>Basisgegevens!$M$14</f>
        <v>38</v>
      </c>
      <c r="N433" s="86"/>
      <c r="O433" s="81">
        <f>M433*K433</f>
        <v>0</v>
      </c>
      <c r="P433" s="99"/>
      <c r="R433" s="109">
        <v>3</v>
      </c>
      <c r="S433" s="96">
        <f>K415*125*0.9*45*1/1000</f>
        <v>0</v>
      </c>
      <c r="T433" s="118">
        <v>1</v>
      </c>
      <c r="U433" s="1"/>
    </row>
    <row r="434" spans="2:21" customFormat="1" x14ac:dyDescent="0.25">
      <c r="B434" s="84"/>
      <c r="C434" s="85"/>
      <c r="D434" s="45" t="str">
        <f>Basisgegevens!$D$13</f>
        <v>grondwerker</v>
      </c>
      <c r="E434" s="85"/>
      <c r="F434" s="85"/>
      <c r="G434" s="85"/>
      <c r="H434" s="100" t="s">
        <v>111</v>
      </c>
      <c r="I434" s="87">
        <v>12.5</v>
      </c>
      <c r="J434" s="9"/>
      <c r="K434" s="87">
        <f>125/I434*K415</f>
        <v>0</v>
      </c>
      <c r="L434" s="86"/>
      <c r="M434" s="98">
        <f>Basisgegevens!$M$13</f>
        <v>35</v>
      </c>
      <c r="N434" s="86"/>
      <c r="O434" s="81">
        <f>M434*K434</f>
        <v>0</v>
      </c>
      <c r="P434" s="99"/>
      <c r="R434" s="17">
        <v>2</v>
      </c>
      <c r="S434" s="96">
        <f>K415*125*0.9*45*0.15/1000</f>
        <v>0</v>
      </c>
      <c r="T434" s="118">
        <v>0.15</v>
      </c>
      <c r="U434" s="1"/>
    </row>
    <row r="435" spans="2:21" customFormat="1" x14ac:dyDescent="0.25">
      <c r="B435" s="84"/>
      <c r="C435" s="85"/>
      <c r="D435" s="11" t="str">
        <f>Basisgegevens!$D$38</f>
        <v>wiellaadschop 1 m³</v>
      </c>
      <c r="E435" s="85"/>
      <c r="F435" s="85"/>
      <c r="G435" s="85"/>
      <c r="H435" s="86" t="s">
        <v>111</v>
      </c>
      <c r="I435" s="87">
        <v>125</v>
      </c>
      <c r="J435" s="9"/>
      <c r="K435" s="87">
        <f>125/I435*K415</f>
        <v>0</v>
      </c>
      <c r="L435" s="86"/>
      <c r="M435" s="98">
        <f>Basisgegevens!$M$38</f>
        <v>67.5</v>
      </c>
      <c r="N435" s="86"/>
      <c r="O435" s="81">
        <f>K435*M435</f>
        <v>0</v>
      </c>
      <c r="P435" s="99"/>
      <c r="R435" t="s">
        <v>365</v>
      </c>
      <c r="S435" s="126">
        <f>VLOOKUP(Input!$R$14,R433:S434,2,0)</f>
        <v>0</v>
      </c>
      <c r="T435" s="1"/>
    </row>
    <row r="436" spans="2:21" customFormat="1" x14ac:dyDescent="0.25">
      <c r="B436" s="84"/>
      <c r="C436" s="85"/>
      <c r="D436" s="11" t="str">
        <f>Basisgegevens!$D$43</f>
        <v>trilplaat 1000 kg, excl. bediening</v>
      </c>
      <c r="E436" s="85"/>
      <c r="F436" s="85"/>
      <c r="G436" s="85"/>
      <c r="H436" s="86" t="s">
        <v>170</v>
      </c>
      <c r="I436" s="87">
        <v>1000</v>
      </c>
      <c r="J436" s="9"/>
      <c r="K436" s="87">
        <f>125/I436*K415</f>
        <v>0</v>
      </c>
      <c r="L436" s="86"/>
      <c r="M436" s="98">
        <f>Basisgegevens!$M$43</f>
        <v>20</v>
      </c>
      <c r="N436" s="86"/>
      <c r="O436" s="81">
        <f>K436*M436</f>
        <v>0</v>
      </c>
      <c r="P436" s="99"/>
      <c r="R436" s="58" t="s">
        <v>364</v>
      </c>
      <c r="S436" s="58" t="str">
        <f>D445</f>
        <v>bisschopmuts engels rood, dik 80</v>
      </c>
      <c r="T436" s="1"/>
    </row>
    <row r="437" spans="2:21" customFormat="1" x14ac:dyDescent="0.25">
      <c r="B437" s="84"/>
      <c r="C437" s="85"/>
      <c r="D437" s="11" t="str">
        <f>Basisgegevens!$D$86</f>
        <v>brekerzand</v>
      </c>
      <c r="E437" s="85"/>
      <c r="F437" s="85"/>
      <c r="G437" s="85"/>
      <c r="H437" s="86" t="s">
        <v>168</v>
      </c>
      <c r="I437" s="87">
        <v>1</v>
      </c>
      <c r="J437" s="9"/>
      <c r="K437" s="87">
        <f>125/100*1/1.7*K415</f>
        <v>0</v>
      </c>
      <c r="L437" s="86"/>
      <c r="M437" s="98">
        <f>Basisgegevens!$M$86</f>
        <v>8.5</v>
      </c>
      <c r="N437" s="86"/>
      <c r="O437" s="81">
        <f>K437*M437</f>
        <v>0</v>
      </c>
      <c r="P437" s="99"/>
      <c r="R437" s="109">
        <v>3</v>
      </c>
      <c r="S437" s="96">
        <f>K415*25*3.33*1/1000</f>
        <v>0</v>
      </c>
      <c r="T437" s="118">
        <v>1</v>
      </c>
    </row>
    <row r="438" spans="2:21" customFormat="1" x14ac:dyDescent="0.25">
      <c r="B438" s="84"/>
      <c r="C438" s="85"/>
      <c r="D438" s="10" t="s">
        <v>209</v>
      </c>
      <c r="E438" s="85"/>
      <c r="F438" s="85"/>
      <c r="G438" s="85"/>
      <c r="H438" s="86"/>
      <c r="I438" s="87"/>
      <c r="J438" s="9"/>
      <c r="K438" s="87"/>
      <c r="L438" s="86"/>
      <c r="M438" s="98"/>
      <c r="N438" s="86"/>
      <c r="O438" s="81"/>
      <c r="P438" s="99"/>
      <c r="R438" s="17">
        <v>2</v>
      </c>
      <c r="S438" s="96">
        <f>K415*25*3.33*0.15/1000</f>
        <v>0</v>
      </c>
      <c r="T438" s="118">
        <v>0.15</v>
      </c>
    </row>
    <row r="439" spans="2:21" customFormat="1" x14ac:dyDescent="0.25">
      <c r="B439" s="84"/>
      <c r="C439" s="85"/>
      <c r="D439" s="11" t="str">
        <f>Basisgegevens!$D$38</f>
        <v>wiellaadschop 1 m³</v>
      </c>
      <c r="E439" s="85"/>
      <c r="F439" s="85"/>
      <c r="G439" s="85"/>
      <c r="H439" s="86" t="s">
        <v>111</v>
      </c>
      <c r="I439" s="87">
        <v>125</v>
      </c>
      <c r="J439" s="9"/>
      <c r="K439" s="87">
        <f>125/I439*K415</f>
        <v>0</v>
      </c>
      <c r="L439" s="86"/>
      <c r="M439" s="98">
        <f>Basisgegevens!$M$38</f>
        <v>67.5</v>
      </c>
      <c r="N439" s="86"/>
      <c r="O439" s="81">
        <f>K439*M439</f>
        <v>0</v>
      </c>
      <c r="P439" s="99"/>
      <c r="R439" t="s">
        <v>365</v>
      </c>
      <c r="S439" s="126">
        <f>VLOOKUP(Input!$R$14,R437:S438,2,0)</f>
        <v>0</v>
      </c>
      <c r="T439" s="1"/>
    </row>
    <row r="440" spans="2:21" customFormat="1" x14ac:dyDescent="0.25">
      <c r="B440" s="84"/>
      <c r="C440" s="85"/>
      <c r="D440" s="45" t="str">
        <f>Basisgegevens!$D$13</f>
        <v>grondwerker</v>
      </c>
      <c r="E440" s="85"/>
      <c r="F440" s="85"/>
      <c r="G440" s="85"/>
      <c r="H440" s="100" t="s">
        <v>111</v>
      </c>
      <c r="I440" s="87">
        <v>125</v>
      </c>
      <c r="J440" s="9"/>
      <c r="K440" s="87">
        <f>125/I440*K415</f>
        <v>0</v>
      </c>
      <c r="L440" s="86"/>
      <c r="M440" s="98">
        <f>Basisgegevens!$M$13</f>
        <v>35</v>
      </c>
      <c r="N440" s="86"/>
      <c r="O440" s="81">
        <f>M440*K440</f>
        <v>0</v>
      </c>
      <c r="P440" s="99"/>
      <c r="R440" s="58" t="s">
        <v>364</v>
      </c>
      <c r="S440" s="58" t="str">
        <f>D446</f>
        <v>bss KF antraciet, dik 80</v>
      </c>
      <c r="T440" s="1"/>
    </row>
    <row r="441" spans="2:21" customFormat="1" x14ac:dyDescent="0.25">
      <c r="B441" s="84"/>
      <c r="C441" s="85"/>
      <c r="D441" s="86" t="s">
        <v>210</v>
      </c>
      <c r="E441" s="85"/>
      <c r="F441" s="85"/>
      <c r="G441" s="85"/>
      <c r="H441" s="100"/>
      <c r="I441" s="87"/>
      <c r="J441" s="9"/>
      <c r="K441" s="87"/>
      <c r="L441" s="86"/>
      <c r="M441" s="98"/>
      <c r="N441" s="86"/>
      <c r="O441" s="81"/>
      <c r="P441" s="99"/>
      <c r="R441" s="109">
        <v>3</v>
      </c>
      <c r="S441" s="96">
        <f>K415*15*0.3*45*1/1000</f>
        <v>0</v>
      </c>
      <c r="T441" s="118">
        <v>1</v>
      </c>
    </row>
    <row r="442" spans="2:21" customFormat="1" x14ac:dyDescent="0.25">
      <c r="B442" s="84"/>
      <c r="C442" s="85"/>
      <c r="D442" s="45" t="str">
        <f>Basisgegevens!$D$86</f>
        <v>brekerzand</v>
      </c>
      <c r="E442" s="85"/>
      <c r="F442" s="85"/>
      <c r="G442" s="85"/>
      <c r="H442" s="100" t="s">
        <v>168</v>
      </c>
      <c r="I442" s="87">
        <v>1</v>
      </c>
      <c r="J442" s="9"/>
      <c r="K442" s="87">
        <f>(K415*125)*(0.05*1.7)</f>
        <v>0</v>
      </c>
      <c r="L442" s="86"/>
      <c r="M442" s="98">
        <f>Basisgegevens!$M$86</f>
        <v>8.5</v>
      </c>
      <c r="N442" s="86"/>
      <c r="O442" s="81">
        <f>M442*K442</f>
        <v>0</v>
      </c>
      <c r="P442" s="99"/>
      <c r="R442" s="17">
        <v>2</v>
      </c>
      <c r="S442" s="96">
        <f>K415*15*0.3*45*0.15/1000</f>
        <v>0</v>
      </c>
      <c r="T442" s="118">
        <v>0.15</v>
      </c>
    </row>
    <row r="443" spans="2:21" customFormat="1" x14ac:dyDescent="0.25">
      <c r="B443" s="84"/>
      <c r="C443" s="85"/>
      <c r="D443" s="86" t="s">
        <v>452</v>
      </c>
      <c r="E443" s="85"/>
      <c r="F443" s="85"/>
      <c r="G443" s="85"/>
      <c r="H443" s="100"/>
      <c r="I443" s="90"/>
      <c r="J443" s="9"/>
      <c r="K443" s="87"/>
      <c r="L443" s="86"/>
      <c r="M443" s="98"/>
      <c r="N443" s="86"/>
      <c r="O443" s="81"/>
      <c r="P443" s="99"/>
      <c r="R443" t="s">
        <v>365</v>
      </c>
      <c r="S443" s="126">
        <f>VLOOKUP(Input!$R$14,R441:S442,2,0)</f>
        <v>0</v>
      </c>
      <c r="T443" s="1"/>
    </row>
    <row r="444" spans="2:21" customFormat="1" x14ac:dyDescent="0.25">
      <c r="B444" s="84"/>
      <c r="C444" s="85"/>
      <c r="D444" s="45" t="str">
        <f>Basisgegevens!$D$101</f>
        <v>bss KF engels rood, dik 80</v>
      </c>
      <c r="E444" s="85"/>
      <c r="F444" s="85"/>
      <c r="G444" s="85"/>
      <c r="H444" s="100" t="s">
        <v>208</v>
      </c>
      <c r="I444" s="90">
        <v>1</v>
      </c>
      <c r="J444" s="9"/>
      <c r="K444" s="87">
        <f>S435</f>
        <v>0</v>
      </c>
      <c r="L444" s="86"/>
      <c r="M444" s="88">
        <f>Basisgegevens!$M$101</f>
        <v>270</v>
      </c>
      <c r="N444" s="86"/>
      <c r="O444" s="81">
        <f>K444*M444</f>
        <v>0</v>
      </c>
      <c r="P444" s="99"/>
      <c r="R444" s="58" t="s">
        <v>364</v>
      </c>
      <c r="S444" s="58" t="str">
        <f>D453</f>
        <v>trottoirband 130/150x250</v>
      </c>
      <c r="T444" s="1"/>
    </row>
    <row r="445" spans="2:21" customFormat="1" x14ac:dyDescent="0.25">
      <c r="B445" s="84"/>
      <c r="C445" s="85"/>
      <c r="D445" s="45" t="str">
        <f>Basisgegevens!$D$102</f>
        <v>bisschopmuts engels rood, dik 80</v>
      </c>
      <c r="E445" s="85"/>
      <c r="F445" s="85"/>
      <c r="G445" s="85"/>
      <c r="H445" s="100" t="s">
        <v>208</v>
      </c>
      <c r="I445" s="90">
        <v>1</v>
      </c>
      <c r="J445" s="9"/>
      <c r="K445" s="87">
        <f>S439</f>
        <v>0</v>
      </c>
      <c r="L445" s="86"/>
      <c r="M445" s="88">
        <f>Basisgegevens!$M$102</f>
        <v>675</v>
      </c>
      <c r="N445" s="86"/>
      <c r="O445" s="81">
        <f>K445*M445</f>
        <v>0</v>
      </c>
      <c r="P445" s="99"/>
      <c r="R445" s="109">
        <v>3</v>
      </c>
      <c r="S445" s="96">
        <f>K415*50*1</f>
        <v>0</v>
      </c>
      <c r="T445" s="118">
        <v>1</v>
      </c>
    </row>
    <row r="446" spans="2:21" customFormat="1" x14ac:dyDescent="0.25">
      <c r="B446" s="84"/>
      <c r="C446" s="85"/>
      <c r="D446" s="45" t="str">
        <f>Basisgegevens!$D$103</f>
        <v>bss KF antraciet, dik 80</v>
      </c>
      <c r="E446" s="85"/>
      <c r="F446" s="85"/>
      <c r="G446" s="85"/>
      <c r="H446" s="100" t="s">
        <v>208</v>
      </c>
      <c r="I446" s="90">
        <v>1</v>
      </c>
      <c r="J446" s="9"/>
      <c r="K446" s="87">
        <f>S443</f>
        <v>0</v>
      </c>
      <c r="L446" s="86"/>
      <c r="M446" s="88">
        <f>Basisgegevens!$M$103</f>
        <v>288</v>
      </c>
      <c r="N446" s="86"/>
      <c r="O446" s="81">
        <f>K446*M446</f>
        <v>0</v>
      </c>
      <c r="P446" s="99"/>
      <c r="R446" s="17">
        <v>2</v>
      </c>
      <c r="S446" s="96">
        <f>K415*50*0.15</f>
        <v>0</v>
      </c>
      <c r="T446" s="118">
        <v>0.15</v>
      </c>
    </row>
    <row r="447" spans="2:21" customFormat="1" x14ac:dyDescent="0.25">
      <c r="B447" s="84"/>
      <c r="C447" s="85"/>
      <c r="D447" s="86" t="s">
        <v>458</v>
      </c>
      <c r="E447" s="85"/>
      <c r="F447" s="85"/>
      <c r="G447" s="85"/>
      <c r="H447" s="86" t="s">
        <v>29</v>
      </c>
      <c r="I447" s="89"/>
      <c r="J447" s="9"/>
      <c r="K447" s="87"/>
      <c r="L447" s="86"/>
      <c r="M447" s="86"/>
      <c r="N447" s="86"/>
      <c r="O447" s="86"/>
      <c r="P447" s="99"/>
      <c r="R447" t="s">
        <v>365</v>
      </c>
      <c r="S447" s="126">
        <f>VLOOKUP(Input!$R$14,R445:S446,2,0)</f>
        <v>0</v>
      </c>
      <c r="T447" s="1"/>
    </row>
    <row r="448" spans="2:21" customFormat="1" x14ac:dyDescent="0.25">
      <c r="B448" s="84"/>
      <c r="C448" s="85"/>
      <c r="D448" s="11" t="str">
        <f>Basisgegevens!$D$14</f>
        <v>stratenmaker</v>
      </c>
      <c r="E448" s="85"/>
      <c r="F448" s="85"/>
      <c r="G448" s="85"/>
      <c r="H448" s="86" t="s">
        <v>111</v>
      </c>
      <c r="I448" s="87">
        <v>10</v>
      </c>
      <c r="J448" s="9"/>
      <c r="K448" s="87">
        <f>$K$453/I448</f>
        <v>0</v>
      </c>
      <c r="L448" s="86"/>
      <c r="M448" s="98">
        <f>Basisgegevens!$M$14</f>
        <v>38</v>
      </c>
      <c r="N448" s="86"/>
      <c r="O448" s="81">
        <f>M448*K448</f>
        <v>0</v>
      </c>
      <c r="P448" s="99"/>
      <c r="R448" s="1"/>
      <c r="S448" s="1"/>
      <c r="T448" s="1"/>
      <c r="U448" s="1"/>
    </row>
    <row r="449" spans="2:20" customFormat="1" x14ac:dyDescent="0.25">
      <c r="B449" s="84"/>
      <c r="C449" s="85"/>
      <c r="D449" s="11" t="str">
        <f>Basisgegevens!$D$14</f>
        <v>stratenmaker</v>
      </c>
      <c r="E449" s="85"/>
      <c r="F449" s="85"/>
      <c r="G449" s="85"/>
      <c r="H449" s="86" t="s">
        <v>111</v>
      </c>
      <c r="I449" s="87">
        <v>10</v>
      </c>
      <c r="J449" s="9"/>
      <c r="K449" s="87">
        <f>$K$453/I449</f>
        <v>0</v>
      </c>
      <c r="L449" s="86"/>
      <c r="M449" s="98">
        <f>Basisgegevens!$M$14</f>
        <v>38</v>
      </c>
      <c r="N449" s="86"/>
      <c r="O449" s="81">
        <f>M449*K449</f>
        <v>0</v>
      </c>
      <c r="P449" s="99"/>
      <c r="R449" s="1"/>
      <c r="S449" s="1"/>
      <c r="T449" s="1"/>
    </row>
    <row r="450" spans="2:20" customFormat="1" x14ac:dyDescent="0.25">
      <c r="B450" s="84"/>
      <c r="C450" s="85"/>
      <c r="D450" s="45" t="str">
        <f>Basisgegevens!$D$13</f>
        <v>grondwerker</v>
      </c>
      <c r="E450" s="85"/>
      <c r="F450" s="85"/>
      <c r="G450" s="85"/>
      <c r="H450" s="100" t="s">
        <v>111</v>
      </c>
      <c r="I450" s="87">
        <v>10</v>
      </c>
      <c r="J450" s="9"/>
      <c r="K450" s="87">
        <f>$K$453/I450</f>
        <v>0</v>
      </c>
      <c r="L450" s="86"/>
      <c r="M450" s="98">
        <f>Basisgegevens!$M$13</f>
        <v>35</v>
      </c>
      <c r="N450" s="86"/>
      <c r="O450" s="81">
        <f>M450*K450</f>
        <v>0</v>
      </c>
      <c r="P450" s="99"/>
      <c r="R450" s="1"/>
      <c r="S450" s="1"/>
      <c r="T450" s="1"/>
    </row>
    <row r="451" spans="2:20" customFormat="1" x14ac:dyDescent="0.25">
      <c r="B451" s="84"/>
      <c r="C451" s="85"/>
      <c r="D451" s="11" t="str">
        <f>Basisgegevens!$D$38</f>
        <v>wiellaadschop 1 m³</v>
      </c>
      <c r="E451" s="85"/>
      <c r="F451" s="85"/>
      <c r="G451" s="85"/>
      <c r="H451" s="86" t="s">
        <v>111</v>
      </c>
      <c r="I451" s="87">
        <v>125</v>
      </c>
      <c r="J451" s="9"/>
      <c r="K451" s="87">
        <f>$K$453/I451</f>
        <v>0</v>
      </c>
      <c r="L451" s="86"/>
      <c r="M451" s="98">
        <f>Basisgegevens!$M$38</f>
        <v>67.5</v>
      </c>
      <c r="N451" s="86"/>
      <c r="O451" s="81">
        <f>K451*M451</f>
        <v>0</v>
      </c>
      <c r="P451" s="99"/>
      <c r="R451" s="17"/>
      <c r="S451" s="96"/>
      <c r="T451" s="118"/>
    </row>
    <row r="452" spans="2:20" customFormat="1" x14ac:dyDescent="0.25">
      <c r="B452" s="110"/>
      <c r="C452" s="111"/>
      <c r="D452" s="86" t="s">
        <v>214</v>
      </c>
      <c r="E452" s="85"/>
      <c r="F452" s="85"/>
      <c r="G452" s="85"/>
      <c r="H452" s="100"/>
      <c r="I452" s="87"/>
      <c r="J452" s="9"/>
      <c r="K452" s="87"/>
      <c r="L452" s="86"/>
      <c r="M452" s="98"/>
      <c r="N452" s="86"/>
      <c r="O452" s="81"/>
      <c r="P452" s="112"/>
      <c r="S452" s="126"/>
      <c r="T452" s="1"/>
    </row>
    <row r="453" spans="2:20" customFormat="1" x14ac:dyDescent="0.25">
      <c r="B453" s="110"/>
      <c r="C453" s="111"/>
      <c r="D453" s="45" t="str">
        <f>Basisgegevens!$D$114</f>
        <v>trottoirband 130/150x250</v>
      </c>
      <c r="E453" s="85"/>
      <c r="F453" s="85"/>
      <c r="G453" s="85"/>
      <c r="H453" s="100" t="s">
        <v>135</v>
      </c>
      <c r="I453" s="87">
        <v>1</v>
      </c>
      <c r="J453" s="9"/>
      <c r="K453" s="87">
        <f>S447</f>
        <v>0</v>
      </c>
      <c r="L453" s="86"/>
      <c r="M453" s="98">
        <f>Basisgegevens!$M$114</f>
        <v>10</v>
      </c>
      <c r="N453" s="86"/>
      <c r="O453" s="81">
        <f>M453*K453</f>
        <v>0</v>
      </c>
      <c r="P453" s="112"/>
      <c r="R453" s="17"/>
      <c r="S453" s="96"/>
      <c r="T453" s="118"/>
    </row>
    <row r="454" spans="2:20" customFormat="1" x14ac:dyDescent="0.25">
      <c r="B454" s="110"/>
      <c r="C454" s="111"/>
      <c r="D454" s="86" t="s">
        <v>459</v>
      </c>
      <c r="E454" s="85"/>
      <c r="F454" s="85"/>
      <c r="G454" s="85"/>
      <c r="H454" s="100"/>
      <c r="I454" s="87"/>
      <c r="J454" s="9"/>
      <c r="K454" s="87"/>
      <c r="L454" s="86"/>
      <c r="M454" s="98"/>
      <c r="N454" s="86"/>
      <c r="O454" s="81"/>
      <c r="P454" s="112"/>
      <c r="S454" s="126"/>
      <c r="T454" s="1"/>
    </row>
    <row r="455" spans="2:20" customFormat="1" x14ac:dyDescent="0.25">
      <c r="B455" s="110"/>
      <c r="C455" s="111"/>
      <c r="D455" s="45" t="str">
        <f>Basisgegevens!$D$13</f>
        <v>grondwerker</v>
      </c>
      <c r="E455" s="85"/>
      <c r="F455" s="85"/>
      <c r="G455" s="85"/>
      <c r="H455" s="100" t="s">
        <v>111</v>
      </c>
      <c r="I455" s="87">
        <v>1</v>
      </c>
      <c r="J455" s="9"/>
      <c r="K455" s="87">
        <f>K415*8*I455</f>
        <v>0</v>
      </c>
      <c r="L455" s="86"/>
      <c r="M455" s="98">
        <f>Basisgegevens!$M$13</f>
        <v>35</v>
      </c>
      <c r="N455" s="86"/>
      <c r="O455" s="81">
        <f>M455*K455</f>
        <v>0</v>
      </c>
      <c r="P455" s="112"/>
      <c r="S455" s="126"/>
      <c r="T455" s="1"/>
    </row>
    <row r="456" spans="2:20" customFormat="1" x14ac:dyDescent="0.25">
      <c r="B456" s="110"/>
      <c r="C456" s="111"/>
      <c r="D456" s="86" t="s">
        <v>460</v>
      </c>
      <c r="E456" s="85"/>
      <c r="F456" s="85"/>
      <c r="G456" s="85"/>
      <c r="H456" s="100"/>
      <c r="I456" s="87"/>
      <c r="J456" s="9"/>
      <c r="K456" s="87"/>
      <c r="L456" s="86"/>
      <c r="M456" s="98"/>
      <c r="N456" s="86"/>
      <c r="O456" s="81"/>
      <c r="P456" s="112"/>
      <c r="S456" s="126"/>
      <c r="T456" s="1"/>
    </row>
    <row r="457" spans="2:20" customFormat="1" x14ac:dyDescent="0.25">
      <c r="B457" s="110"/>
      <c r="C457" s="111"/>
      <c r="D457" s="45" t="str">
        <f>Basisgegevens!$D$129</f>
        <v>talipaal</v>
      </c>
      <c r="E457" s="85"/>
      <c r="F457" s="85"/>
      <c r="G457" s="85"/>
      <c r="H457" s="100" t="s">
        <v>60</v>
      </c>
      <c r="I457" s="87">
        <v>1</v>
      </c>
      <c r="J457" s="9"/>
      <c r="K457" s="87">
        <f>K415*8*I457</f>
        <v>0</v>
      </c>
      <c r="L457" s="86"/>
      <c r="M457" s="98">
        <f>Basisgegevens!$M$129</f>
        <v>50</v>
      </c>
      <c r="N457" s="86"/>
      <c r="O457" s="81">
        <f>M457*K457</f>
        <v>0</v>
      </c>
      <c r="P457" s="112"/>
      <c r="S457" s="126"/>
      <c r="T457" s="1"/>
    </row>
    <row r="458" spans="2:20" customFormat="1" x14ac:dyDescent="0.25">
      <c r="B458" s="110"/>
      <c r="C458" s="111"/>
      <c r="D458" s="86"/>
      <c r="E458" s="85"/>
      <c r="F458" s="85"/>
      <c r="G458" s="85"/>
      <c r="H458" s="100"/>
      <c r="I458" s="87"/>
      <c r="J458" s="9"/>
      <c r="K458" s="87"/>
      <c r="L458" s="86"/>
      <c r="M458" s="98"/>
      <c r="N458" s="86"/>
      <c r="O458" s="81"/>
      <c r="P458" s="112"/>
      <c r="S458" s="126"/>
      <c r="T458" s="1"/>
    </row>
    <row r="459" spans="2:20" ht="15" customHeight="1" x14ac:dyDescent="0.25">
      <c r="B459" s="73"/>
      <c r="C459" s="83"/>
      <c r="D459" s="83" t="s">
        <v>22</v>
      </c>
      <c r="E459" s="83"/>
      <c r="F459" s="83"/>
      <c r="G459" s="83"/>
      <c r="H459" s="83" t="str">
        <f>H415</f>
        <v>st</v>
      </c>
      <c r="I459" s="80"/>
      <c r="J459" s="83"/>
      <c r="K459" s="80">
        <f>K415</f>
        <v>0</v>
      </c>
      <c r="L459" s="83"/>
      <c r="M459" s="103" t="e">
        <f>O459/K415</f>
        <v>#DIV/0!</v>
      </c>
      <c r="N459" s="83"/>
      <c r="O459" s="103">
        <f>SUM(O416:O458)</f>
        <v>0</v>
      </c>
      <c r="P459" s="104"/>
      <c r="Q459"/>
      <c r="R459"/>
      <c r="S459" s="126"/>
    </row>
    <row r="460" spans="2:20" ht="5.0999999999999996" customHeight="1" thickBot="1" x14ac:dyDescent="0.3">
      <c r="B460" s="12"/>
      <c r="C460" s="13"/>
      <c r="D460" s="13"/>
      <c r="E460" s="13"/>
      <c r="F460" s="13"/>
      <c r="G460" s="13"/>
      <c r="H460" s="13"/>
      <c r="I460" s="15"/>
      <c r="J460" s="13"/>
      <c r="K460" s="15"/>
      <c r="L460" s="13"/>
      <c r="M460" s="13"/>
      <c r="N460" s="13"/>
      <c r="O460" s="13"/>
      <c r="P460" s="14"/>
    </row>
    <row r="461" spans="2:20" ht="30" customHeight="1" thickBot="1" x14ac:dyDescent="0.3">
      <c r="Q461"/>
      <c r="R461"/>
    </row>
    <row r="462" spans="2:20" ht="5.0999999999999996" customHeight="1" x14ac:dyDescent="0.25">
      <c r="B462" s="3"/>
      <c r="C462" s="4"/>
      <c r="D462" s="4"/>
      <c r="E462" s="4"/>
      <c r="F462" s="4"/>
      <c r="G462" s="4"/>
      <c r="H462" s="55"/>
      <c r="I462" s="4"/>
      <c r="J462" s="4"/>
      <c r="K462" s="4"/>
      <c r="L462" s="4"/>
      <c r="M462" s="4"/>
      <c r="N462" s="4"/>
      <c r="O462" s="4"/>
      <c r="P462" s="5"/>
      <c r="Q462"/>
    </row>
    <row r="463" spans="2:20" x14ac:dyDescent="0.25">
      <c r="B463" s="34"/>
      <c r="C463" s="94"/>
      <c r="D463" s="36"/>
      <c r="E463" s="36"/>
      <c r="F463" s="36"/>
      <c r="G463" s="36"/>
      <c r="H463" s="36"/>
      <c r="I463" s="44"/>
      <c r="J463" s="36"/>
      <c r="K463" s="44"/>
      <c r="L463" s="36"/>
      <c r="M463" s="36"/>
      <c r="N463" s="36"/>
      <c r="O463" s="36"/>
      <c r="P463" s="37"/>
      <c r="Q463"/>
    </row>
    <row r="464" spans="2:20" x14ac:dyDescent="0.25">
      <c r="B464" s="34"/>
      <c r="C464" s="35" t="s">
        <v>437</v>
      </c>
      <c r="D464" s="36"/>
      <c r="E464" s="36"/>
      <c r="F464" s="36"/>
      <c r="G464" s="36"/>
      <c r="H464"/>
      <c r="I464" s="44"/>
      <c r="J464"/>
      <c r="K464" s="44"/>
      <c r="L464" s="36"/>
      <c r="O464" s="71" t="s">
        <v>62</v>
      </c>
      <c r="P464" s="37"/>
      <c r="Q464"/>
      <c r="R464" s="105" t="s">
        <v>137</v>
      </c>
    </row>
    <row r="465" spans="2:21" ht="15.75" thickBot="1" x14ac:dyDescent="0.3">
      <c r="B465" s="68"/>
      <c r="C465" s="48" t="s">
        <v>56</v>
      </c>
      <c r="D465" s="48" t="s">
        <v>55</v>
      </c>
      <c r="E465" s="50"/>
      <c r="F465" s="48"/>
      <c r="G465" s="48"/>
      <c r="H465" s="48" t="s">
        <v>107</v>
      </c>
      <c r="I465" s="78" t="s">
        <v>108</v>
      </c>
      <c r="J465" s="69"/>
      <c r="K465" s="82" t="s">
        <v>110</v>
      </c>
      <c r="L465" s="48"/>
      <c r="M465" s="48" t="s">
        <v>109</v>
      </c>
      <c r="N465" s="48"/>
      <c r="O465" s="48" t="s">
        <v>19</v>
      </c>
      <c r="P465" s="70"/>
      <c r="Q465"/>
      <c r="R465" s="1" t="s">
        <v>448</v>
      </c>
    </row>
    <row r="466" spans="2:21" x14ac:dyDescent="0.25">
      <c r="B466" s="84"/>
      <c r="C466" s="85"/>
      <c r="D466" s="86" t="s">
        <v>447</v>
      </c>
      <c r="E466" s="85"/>
      <c r="F466" s="85"/>
      <c r="G466" s="85"/>
      <c r="H466" s="86" t="s">
        <v>60</v>
      </c>
      <c r="I466" s="89"/>
      <c r="J466" s="9"/>
      <c r="K466" s="87">
        <f>Input!$G$52</f>
        <v>0</v>
      </c>
      <c r="L466" s="86"/>
      <c r="M466" s="86"/>
      <c r="N466" s="86"/>
      <c r="O466" s="86"/>
      <c r="P466" s="99"/>
      <c r="Q466"/>
      <c r="R466" s="1" t="s">
        <v>464</v>
      </c>
    </row>
    <row r="467" spans="2:21" customFormat="1" x14ac:dyDescent="0.25">
      <c r="B467" s="84"/>
      <c r="C467" s="85"/>
      <c r="D467" s="11" t="str">
        <f>Basisgegevens!$D$14</f>
        <v>stratenmaker</v>
      </c>
      <c r="E467" s="85"/>
      <c r="F467" s="85"/>
      <c r="G467" s="85"/>
      <c r="H467" s="86" t="s">
        <v>111</v>
      </c>
      <c r="I467" s="87">
        <v>5</v>
      </c>
      <c r="J467" s="9"/>
      <c r="K467" s="87">
        <f>3.6*5/I467*K466</f>
        <v>0</v>
      </c>
      <c r="L467" s="86"/>
      <c r="M467" s="98">
        <f>Basisgegevens!$M$14</f>
        <v>38</v>
      </c>
      <c r="N467" s="86"/>
      <c r="O467" s="81">
        <f>M467*K467</f>
        <v>0</v>
      </c>
      <c r="P467" s="99"/>
      <c r="R467" t="s">
        <v>465</v>
      </c>
      <c r="S467" s="1"/>
      <c r="T467" s="1"/>
      <c r="U467" s="1"/>
    </row>
    <row r="468" spans="2:21" customFormat="1" x14ac:dyDescent="0.25">
      <c r="B468" s="84"/>
      <c r="C468" s="85"/>
      <c r="D468" s="11" t="str">
        <f>Basisgegevens!$D$14</f>
        <v>stratenmaker</v>
      </c>
      <c r="E468" s="85"/>
      <c r="F468" s="85"/>
      <c r="G468" s="85"/>
      <c r="H468" s="86" t="s">
        <v>111</v>
      </c>
      <c r="I468" s="87">
        <v>5</v>
      </c>
      <c r="J468" s="9"/>
      <c r="K468" s="87">
        <f>3.6*5/I468*K466</f>
        <v>0</v>
      </c>
      <c r="L468" s="86"/>
      <c r="M468" s="98">
        <f>Basisgegevens!$M$14</f>
        <v>38</v>
      </c>
      <c r="N468" s="86"/>
      <c r="O468" s="81">
        <f>M468*K468</f>
        <v>0</v>
      </c>
      <c r="P468" s="99"/>
      <c r="R468" t="s">
        <v>450</v>
      </c>
      <c r="S468" s="1"/>
      <c r="T468" s="1"/>
      <c r="U468" s="1"/>
    </row>
    <row r="469" spans="2:21" customFormat="1" x14ac:dyDescent="0.25">
      <c r="B469" s="84"/>
      <c r="C469" s="85"/>
      <c r="D469" s="45" t="str">
        <f>Basisgegevens!$D$13</f>
        <v>grondwerker</v>
      </c>
      <c r="E469" s="85"/>
      <c r="F469" s="85"/>
      <c r="G469" s="85"/>
      <c r="H469" s="100" t="s">
        <v>111</v>
      </c>
      <c r="I469" s="87">
        <v>5</v>
      </c>
      <c r="J469" s="9"/>
      <c r="K469" s="87">
        <f>3.6*5/I469*K466</f>
        <v>0</v>
      </c>
      <c r="L469" s="86"/>
      <c r="M469" s="98">
        <f>Basisgegevens!$M$13</f>
        <v>35</v>
      </c>
      <c r="N469" s="86"/>
      <c r="O469" s="81">
        <f>M469*K469</f>
        <v>0</v>
      </c>
      <c r="P469" s="99"/>
      <c r="R469" s="1" t="s">
        <v>449</v>
      </c>
      <c r="S469" s="1"/>
      <c r="T469" s="1"/>
      <c r="U469" s="1"/>
    </row>
    <row r="470" spans="2:21" customFormat="1" x14ac:dyDescent="0.25">
      <c r="B470" s="84"/>
      <c r="C470" s="85"/>
      <c r="D470" s="11" t="str">
        <f>Basisgegevens!$D$38</f>
        <v>wiellaadschop 1 m³</v>
      </c>
      <c r="E470" s="85"/>
      <c r="F470" s="85"/>
      <c r="G470" s="85"/>
      <c r="H470" s="86" t="s">
        <v>111</v>
      </c>
      <c r="I470" s="87">
        <v>125</v>
      </c>
      <c r="J470" s="9"/>
      <c r="K470" s="87">
        <f>3.6*5/I470*K466</f>
        <v>0</v>
      </c>
      <c r="L470" s="86"/>
      <c r="M470" s="98">
        <f>Basisgegevens!$M$38</f>
        <v>67.5</v>
      </c>
      <c r="N470" s="86"/>
      <c r="O470" s="81">
        <f>K470*M470</f>
        <v>0</v>
      </c>
      <c r="P470" s="99"/>
      <c r="R470" s="1"/>
    </row>
    <row r="471" spans="2:21" customFormat="1" x14ac:dyDescent="0.25">
      <c r="B471" s="84"/>
      <c r="C471" s="85"/>
      <c r="D471" s="11" t="str">
        <f>Basisgegevens!$D$43</f>
        <v>trilplaat 1000 kg, excl. bediening</v>
      </c>
      <c r="E471" s="85"/>
      <c r="F471" s="85"/>
      <c r="G471" s="85"/>
      <c r="H471" s="86" t="s">
        <v>170</v>
      </c>
      <c r="I471" s="87">
        <v>1000</v>
      </c>
      <c r="J471" s="9"/>
      <c r="K471" s="87">
        <f>3.6*5/I471*K466</f>
        <v>0</v>
      </c>
      <c r="L471" s="86"/>
      <c r="M471" s="98">
        <f>Basisgegevens!$M$43</f>
        <v>20</v>
      </c>
      <c r="N471" s="86"/>
      <c r="O471" s="81">
        <f>K471*M471</f>
        <v>0</v>
      </c>
      <c r="P471" s="99"/>
      <c r="R471" s="58" t="s">
        <v>364</v>
      </c>
      <c r="S471" s="58" t="str">
        <f>D479</f>
        <v>bss KF antraciet, dik 80</v>
      </c>
      <c r="T471" s="1"/>
    </row>
    <row r="472" spans="2:21" customFormat="1" x14ac:dyDescent="0.25">
      <c r="B472" s="84"/>
      <c r="C472" s="85"/>
      <c r="D472" s="11" t="str">
        <f>Basisgegevens!$D$86</f>
        <v>brekerzand</v>
      </c>
      <c r="E472" s="85"/>
      <c r="F472" s="85"/>
      <c r="G472" s="85"/>
      <c r="H472" s="86" t="s">
        <v>168</v>
      </c>
      <c r="I472" s="87">
        <v>1</v>
      </c>
      <c r="J472" s="9"/>
      <c r="K472" s="87">
        <f>3.6*5/100*1/1.7*K466</f>
        <v>0</v>
      </c>
      <c r="L472" s="86"/>
      <c r="M472" s="98">
        <f>Basisgegevens!$M$86</f>
        <v>8.5</v>
      </c>
      <c r="N472" s="86"/>
      <c r="O472" s="81">
        <f>K472*M472</f>
        <v>0</v>
      </c>
      <c r="P472" s="99"/>
      <c r="R472" s="109">
        <v>3</v>
      </c>
      <c r="S472" s="96">
        <f>K466*3.6*5*45*1/1000*0.38</f>
        <v>0</v>
      </c>
      <c r="T472" s="118">
        <v>1</v>
      </c>
    </row>
    <row r="473" spans="2:21" customFormat="1" x14ac:dyDescent="0.25">
      <c r="B473" s="84"/>
      <c r="C473" s="85"/>
      <c r="D473" s="10" t="s">
        <v>209</v>
      </c>
      <c r="E473" s="85"/>
      <c r="F473" s="85"/>
      <c r="G473" s="85"/>
      <c r="H473" s="86"/>
      <c r="I473" s="87"/>
      <c r="J473" s="9"/>
      <c r="K473" s="87"/>
      <c r="L473" s="86"/>
      <c r="M473" s="98"/>
      <c r="N473" s="86"/>
      <c r="O473" s="81"/>
      <c r="P473" s="99"/>
      <c r="R473" s="17">
        <v>2</v>
      </c>
      <c r="S473" s="96">
        <f>K466*3.6*5*45*0.15/1000*0.38</f>
        <v>0</v>
      </c>
      <c r="T473" s="118">
        <v>0.15</v>
      </c>
    </row>
    <row r="474" spans="2:21" customFormat="1" x14ac:dyDescent="0.25">
      <c r="B474" s="84"/>
      <c r="C474" s="85"/>
      <c r="D474" s="11" t="str">
        <f>Basisgegevens!$D$38</f>
        <v>wiellaadschop 1 m³</v>
      </c>
      <c r="E474" s="85"/>
      <c r="F474" s="85"/>
      <c r="G474" s="85"/>
      <c r="H474" s="86" t="s">
        <v>111</v>
      </c>
      <c r="I474" s="87">
        <v>125</v>
      </c>
      <c r="J474" s="9"/>
      <c r="K474" s="87">
        <f>3.6*5/I474*K466</f>
        <v>0</v>
      </c>
      <c r="L474" s="86"/>
      <c r="M474" s="98">
        <f>Basisgegevens!$M$38</f>
        <v>67.5</v>
      </c>
      <c r="N474" s="86"/>
      <c r="O474" s="81">
        <f>K474*M474</f>
        <v>0</v>
      </c>
      <c r="P474" s="99"/>
      <c r="R474" t="s">
        <v>365</v>
      </c>
      <c r="S474" s="126">
        <f>VLOOKUP(Input!$R$14,R472:S473,2,0)</f>
        <v>0</v>
      </c>
      <c r="T474" s="1"/>
    </row>
    <row r="475" spans="2:21" customFormat="1" x14ac:dyDescent="0.25">
      <c r="B475" s="84"/>
      <c r="C475" s="85"/>
      <c r="D475" s="45" t="str">
        <f>Basisgegevens!$D$13</f>
        <v>grondwerker</v>
      </c>
      <c r="E475" s="85"/>
      <c r="F475" s="85"/>
      <c r="G475" s="85"/>
      <c r="H475" s="100" t="s">
        <v>111</v>
      </c>
      <c r="I475" s="87">
        <v>125</v>
      </c>
      <c r="J475" s="9"/>
      <c r="K475" s="87">
        <f>3.6*5/I475*K466</f>
        <v>0</v>
      </c>
      <c r="L475" s="86"/>
      <c r="M475" s="98">
        <f>Basisgegevens!$M$13</f>
        <v>35</v>
      </c>
      <c r="N475" s="86"/>
      <c r="O475" s="81">
        <f>M475*K475</f>
        <v>0</v>
      </c>
      <c r="P475" s="99"/>
      <c r="R475" s="58" t="s">
        <v>364</v>
      </c>
      <c r="S475" s="58" t="str">
        <f>D480</f>
        <v>bss KF wit verkeerssteen, dik 80</v>
      </c>
      <c r="T475" s="1"/>
    </row>
    <row r="476" spans="2:21" customFormat="1" x14ac:dyDescent="0.25">
      <c r="B476" s="84"/>
      <c r="C476" s="85"/>
      <c r="D476" s="86" t="s">
        <v>210</v>
      </c>
      <c r="E476" s="85"/>
      <c r="F476" s="85"/>
      <c r="G476" s="85"/>
      <c r="H476" s="100"/>
      <c r="I476" s="87"/>
      <c r="J476" s="9"/>
      <c r="K476" s="87"/>
      <c r="L476" s="86"/>
      <c r="M476" s="98"/>
      <c r="N476" s="86"/>
      <c r="O476" s="81"/>
      <c r="P476" s="99"/>
      <c r="R476" s="109">
        <v>3</v>
      </c>
      <c r="S476" s="96">
        <f>K466*3.6*5*45*1/1000*0.32</f>
        <v>0</v>
      </c>
      <c r="T476" s="118">
        <v>1</v>
      </c>
    </row>
    <row r="477" spans="2:21" customFormat="1" x14ac:dyDescent="0.25">
      <c r="B477" s="84"/>
      <c r="C477" s="85"/>
      <c r="D477" s="45" t="str">
        <f>Basisgegevens!$D$86</f>
        <v>brekerzand</v>
      </c>
      <c r="E477" s="85"/>
      <c r="F477" s="85"/>
      <c r="G477" s="85"/>
      <c r="H477" s="100" t="s">
        <v>168</v>
      </c>
      <c r="I477" s="87">
        <v>1</v>
      </c>
      <c r="J477" s="9"/>
      <c r="K477" s="87">
        <f>(K466*3.6*5)*(0.05*1.7)</f>
        <v>0</v>
      </c>
      <c r="L477" s="86"/>
      <c r="M477" s="98">
        <f>Basisgegevens!$M$86</f>
        <v>8.5</v>
      </c>
      <c r="N477" s="86"/>
      <c r="O477" s="81">
        <f>M477*K477</f>
        <v>0</v>
      </c>
      <c r="P477" s="99"/>
      <c r="R477" s="17">
        <v>2</v>
      </c>
      <c r="S477" s="96">
        <f>K466*3.6*5*45*0.15/1000*0.32</f>
        <v>0</v>
      </c>
      <c r="T477" s="118">
        <v>0.15</v>
      </c>
    </row>
    <row r="478" spans="2:21" customFormat="1" x14ac:dyDescent="0.25">
      <c r="B478" s="84"/>
      <c r="C478" s="85"/>
      <c r="D478" s="86" t="s">
        <v>452</v>
      </c>
      <c r="E478" s="85"/>
      <c r="F478" s="85"/>
      <c r="G478" s="85"/>
      <c r="H478" s="100"/>
      <c r="I478" s="90"/>
      <c r="J478" s="9"/>
      <c r="K478" s="87"/>
      <c r="L478" s="86"/>
      <c r="M478" s="98"/>
      <c r="N478" s="86"/>
      <c r="O478" s="81"/>
      <c r="P478" s="99"/>
      <c r="R478" t="s">
        <v>365</v>
      </c>
      <c r="S478" s="126">
        <f>VLOOKUP(Input!$R$14,R476:S477,2,0)</f>
        <v>0</v>
      </c>
      <c r="T478" s="1"/>
    </row>
    <row r="479" spans="2:21" customFormat="1" x14ac:dyDescent="0.25">
      <c r="B479" s="84"/>
      <c r="C479" s="85"/>
      <c r="D479" s="45" t="str">
        <f>Basisgegevens!$D$103</f>
        <v>bss KF antraciet, dik 80</v>
      </c>
      <c r="E479" s="85"/>
      <c r="F479" s="85"/>
      <c r="G479" s="85"/>
      <c r="H479" s="100" t="s">
        <v>208</v>
      </c>
      <c r="I479" s="90">
        <v>1</v>
      </c>
      <c r="J479" s="9"/>
      <c r="K479" s="87">
        <f>S474</f>
        <v>0</v>
      </c>
      <c r="L479" s="86"/>
      <c r="M479" s="88">
        <f>Basisgegevens!$M$103</f>
        <v>288</v>
      </c>
      <c r="N479" s="86"/>
      <c r="O479" s="81">
        <f>K479*M479</f>
        <v>0</v>
      </c>
      <c r="P479" s="99"/>
      <c r="R479" s="58" t="s">
        <v>364</v>
      </c>
      <c r="S479" s="58" t="str">
        <f>D481</f>
        <v>bss KF grijs, dik 80</v>
      </c>
      <c r="T479" s="1"/>
    </row>
    <row r="480" spans="2:21" customFormat="1" x14ac:dyDescent="0.25">
      <c r="B480" s="84"/>
      <c r="C480" s="85"/>
      <c r="D480" s="45" t="str">
        <f>Basisgegevens!$D$104</f>
        <v>bss KF wit verkeerssteen, dik 80</v>
      </c>
      <c r="E480" s="85"/>
      <c r="F480" s="85"/>
      <c r="G480" s="85"/>
      <c r="H480" s="100" t="s">
        <v>208</v>
      </c>
      <c r="I480" s="90">
        <v>1</v>
      </c>
      <c r="J480" s="9"/>
      <c r="K480" s="87">
        <f>S478</f>
        <v>0</v>
      </c>
      <c r="L480" s="86"/>
      <c r="M480" s="88">
        <f>Basisgegevens!$M$104</f>
        <v>630</v>
      </c>
      <c r="N480" s="86"/>
      <c r="O480" s="81">
        <f>K480*M480</f>
        <v>0</v>
      </c>
      <c r="P480" s="99"/>
      <c r="R480" s="109">
        <v>3</v>
      </c>
      <c r="S480" s="96">
        <f>K466*3.6*5*45*1/1000*0.3</f>
        <v>0</v>
      </c>
      <c r="T480" s="118">
        <v>1</v>
      </c>
    </row>
    <row r="481" spans="2:21" customFormat="1" x14ac:dyDescent="0.25">
      <c r="B481" s="84"/>
      <c r="C481" s="85"/>
      <c r="D481" s="45" t="str">
        <f>Basisgegevens!$D$105</f>
        <v>bss KF grijs, dik 80</v>
      </c>
      <c r="E481" s="85"/>
      <c r="F481" s="85"/>
      <c r="G481" s="85"/>
      <c r="H481" s="100" t="s">
        <v>208</v>
      </c>
      <c r="I481" s="90">
        <v>2</v>
      </c>
      <c r="J481" s="9"/>
      <c r="K481" s="87">
        <f>S482</f>
        <v>0</v>
      </c>
      <c r="L481" s="86"/>
      <c r="M481" s="88">
        <f>Basisgegevens!$M$105</f>
        <v>289</v>
      </c>
      <c r="N481" s="86"/>
      <c r="O481" s="81">
        <f>K481*M481</f>
        <v>0</v>
      </c>
      <c r="P481" s="99"/>
      <c r="R481" s="17">
        <v>2</v>
      </c>
      <c r="S481" s="96">
        <f>K466*3.6*5*45*0.15/1000*0.3</f>
        <v>0</v>
      </c>
      <c r="T481" s="118">
        <v>0.15</v>
      </c>
    </row>
    <row r="482" spans="2:21" x14ac:dyDescent="0.25">
      <c r="B482" s="84"/>
      <c r="C482" s="85"/>
      <c r="D482" s="86" t="s">
        <v>451</v>
      </c>
      <c r="E482" s="85"/>
      <c r="F482" s="85"/>
      <c r="G482" s="85"/>
      <c r="H482" s="86" t="s">
        <v>60</v>
      </c>
      <c r="I482" s="89"/>
      <c r="J482" s="9"/>
      <c r="K482" s="87"/>
      <c r="L482" s="86"/>
      <c r="M482" s="86"/>
      <c r="N482" s="86"/>
      <c r="O482" s="86"/>
      <c r="P482" s="99"/>
      <c r="Q482"/>
      <c r="R482" t="s">
        <v>365</v>
      </c>
      <c r="S482" s="126">
        <f>VLOOKUP(Input!$R$14,R480:S481,2,0)</f>
        <v>0</v>
      </c>
      <c r="U482"/>
    </row>
    <row r="483" spans="2:21" customFormat="1" x14ac:dyDescent="0.25">
      <c r="B483" s="84"/>
      <c r="C483" s="85"/>
      <c r="D483" s="11" t="str">
        <f>Basisgegevens!$D$14</f>
        <v>stratenmaker</v>
      </c>
      <c r="E483" s="85"/>
      <c r="F483" s="85"/>
      <c r="G483" s="85"/>
      <c r="H483" s="86" t="s">
        <v>111</v>
      </c>
      <c r="I483" s="87">
        <v>12.5</v>
      </c>
      <c r="J483" s="9"/>
      <c r="K483" s="87">
        <f>K466*5*5/I483</f>
        <v>0</v>
      </c>
      <c r="L483" s="86"/>
      <c r="M483" s="98">
        <f>Basisgegevens!$M$14</f>
        <v>38</v>
      </c>
      <c r="N483" s="86"/>
      <c r="O483" s="81">
        <f>M483*K483</f>
        <v>0</v>
      </c>
      <c r="P483" s="99"/>
      <c r="R483" s="58" t="s">
        <v>364</v>
      </c>
      <c r="S483" s="58" t="str">
        <f>D495</f>
        <v>bss KF engels rood, dik 80</v>
      </c>
      <c r="T483" s="1"/>
      <c r="U483" s="1"/>
    </row>
    <row r="484" spans="2:21" customFormat="1" x14ac:dyDescent="0.25">
      <c r="B484" s="84"/>
      <c r="C484" s="85"/>
      <c r="D484" s="11" t="str">
        <f>Basisgegevens!$D$14</f>
        <v>stratenmaker</v>
      </c>
      <c r="E484" s="85"/>
      <c r="F484" s="85"/>
      <c r="G484" s="85"/>
      <c r="H484" s="86" t="s">
        <v>111</v>
      </c>
      <c r="I484" s="87">
        <v>12.5</v>
      </c>
      <c r="J484" s="9"/>
      <c r="K484" s="87">
        <f>K466*5*5/I484</f>
        <v>0</v>
      </c>
      <c r="L484" s="86"/>
      <c r="M484" s="98">
        <f>Basisgegevens!$M$14</f>
        <v>38</v>
      </c>
      <c r="N484" s="86"/>
      <c r="O484" s="81">
        <f>M484*K484</f>
        <v>0</v>
      </c>
      <c r="P484" s="99"/>
      <c r="R484" s="109">
        <v>3</v>
      </c>
      <c r="S484" s="96">
        <f>K466*25*0.85*45*1/1000</f>
        <v>0</v>
      </c>
      <c r="T484" s="118">
        <v>1</v>
      </c>
      <c r="U484" s="1"/>
    </row>
    <row r="485" spans="2:21" customFormat="1" x14ac:dyDescent="0.25">
      <c r="B485" s="84"/>
      <c r="C485" s="85"/>
      <c r="D485" s="45" t="str">
        <f>Basisgegevens!$D$13</f>
        <v>grondwerker</v>
      </c>
      <c r="E485" s="85"/>
      <c r="F485" s="85"/>
      <c r="G485" s="85"/>
      <c r="H485" s="100" t="s">
        <v>111</v>
      </c>
      <c r="I485" s="87">
        <v>12.5</v>
      </c>
      <c r="J485" s="9"/>
      <c r="K485" s="87">
        <f>K466*5*5/I485</f>
        <v>0</v>
      </c>
      <c r="L485" s="86"/>
      <c r="M485" s="98">
        <f>Basisgegevens!$M$13</f>
        <v>35</v>
      </c>
      <c r="N485" s="86"/>
      <c r="O485" s="81">
        <f>M485*K485</f>
        <v>0</v>
      </c>
      <c r="P485" s="99"/>
      <c r="R485" s="17">
        <v>2</v>
      </c>
      <c r="S485" s="96">
        <f>K466*25*0.85*45*0.15/1000</f>
        <v>0</v>
      </c>
      <c r="T485" s="118">
        <v>0.15</v>
      </c>
      <c r="U485" s="1"/>
    </row>
    <row r="486" spans="2:21" customFormat="1" x14ac:dyDescent="0.25">
      <c r="B486" s="84"/>
      <c r="C486" s="85"/>
      <c r="D486" s="11" t="str">
        <f>Basisgegevens!$D$38</f>
        <v>wiellaadschop 1 m³</v>
      </c>
      <c r="E486" s="85"/>
      <c r="F486" s="85"/>
      <c r="G486" s="85"/>
      <c r="H486" s="86" t="s">
        <v>111</v>
      </c>
      <c r="I486" s="87">
        <v>125</v>
      </c>
      <c r="J486" s="9"/>
      <c r="K486" s="87">
        <f>K466*5*5/I486</f>
        <v>0</v>
      </c>
      <c r="L486" s="86"/>
      <c r="M486" s="98">
        <f>Basisgegevens!$M$38</f>
        <v>67.5</v>
      </c>
      <c r="N486" s="86"/>
      <c r="O486" s="81">
        <f>K486*M486</f>
        <v>0</v>
      </c>
      <c r="P486" s="99"/>
      <c r="R486" t="s">
        <v>365</v>
      </c>
      <c r="S486" s="126">
        <f>VLOOKUP(Input!$R$14,R484:S485,2,0)</f>
        <v>0</v>
      </c>
      <c r="T486" s="1"/>
    </row>
    <row r="487" spans="2:21" customFormat="1" x14ac:dyDescent="0.25">
      <c r="B487" s="84"/>
      <c r="C487" s="85"/>
      <c r="D487" s="11" t="str">
        <f>Basisgegevens!$D$43</f>
        <v>trilplaat 1000 kg, excl. bediening</v>
      </c>
      <c r="E487" s="85"/>
      <c r="F487" s="85"/>
      <c r="G487" s="85"/>
      <c r="H487" s="86" t="s">
        <v>170</v>
      </c>
      <c r="I487" s="87">
        <v>1000</v>
      </c>
      <c r="J487" s="9"/>
      <c r="K487" s="87">
        <f>K466*5*5/I487</f>
        <v>0</v>
      </c>
      <c r="L487" s="86"/>
      <c r="M487" s="98">
        <f>Basisgegevens!$M$43</f>
        <v>20</v>
      </c>
      <c r="N487" s="86"/>
      <c r="O487" s="81">
        <f>K487*M487</f>
        <v>0</v>
      </c>
      <c r="P487" s="99"/>
      <c r="R487" s="58" t="s">
        <v>364</v>
      </c>
      <c r="S487" s="58" t="str">
        <f>D496</f>
        <v>bisschopmuts engels rood, dik 80</v>
      </c>
      <c r="T487" s="1"/>
    </row>
    <row r="488" spans="2:21" customFormat="1" x14ac:dyDescent="0.25">
      <c r="B488" s="84"/>
      <c r="C488" s="85"/>
      <c r="D488" s="11" t="str">
        <f>Basisgegevens!$D$86</f>
        <v>brekerzand</v>
      </c>
      <c r="E488" s="85"/>
      <c r="F488" s="85"/>
      <c r="G488" s="85"/>
      <c r="H488" s="86" t="s">
        <v>168</v>
      </c>
      <c r="I488" s="87">
        <v>1</v>
      </c>
      <c r="J488" s="9"/>
      <c r="K488" s="87">
        <f>K466*5*5/100*1/1.7</f>
        <v>0</v>
      </c>
      <c r="L488" s="86"/>
      <c r="M488" s="98">
        <f>Basisgegevens!$M$86</f>
        <v>8.5</v>
      </c>
      <c r="N488" s="86"/>
      <c r="O488" s="81">
        <f>K488*M488</f>
        <v>0</v>
      </c>
      <c r="P488" s="99"/>
      <c r="R488" s="109">
        <v>3</v>
      </c>
      <c r="S488" s="96">
        <f>K466*5*2*3.33*1/1000</f>
        <v>0</v>
      </c>
      <c r="T488" s="118">
        <v>1</v>
      </c>
    </row>
    <row r="489" spans="2:21" customFormat="1" x14ac:dyDescent="0.25">
      <c r="B489" s="84"/>
      <c r="C489" s="85"/>
      <c r="D489" s="10" t="s">
        <v>209</v>
      </c>
      <c r="E489" s="85"/>
      <c r="F489" s="85"/>
      <c r="G489" s="85"/>
      <c r="H489" s="86"/>
      <c r="I489" s="87"/>
      <c r="J489" s="9"/>
      <c r="K489" s="87"/>
      <c r="L489" s="86"/>
      <c r="M489" s="98"/>
      <c r="N489" s="86"/>
      <c r="O489" s="81"/>
      <c r="P489" s="99"/>
      <c r="R489" s="17">
        <v>2</v>
      </c>
      <c r="S489" s="96">
        <f>K466*5*2*3.33*0.15/1000</f>
        <v>0</v>
      </c>
      <c r="T489" s="118">
        <v>0.15</v>
      </c>
    </row>
    <row r="490" spans="2:21" customFormat="1" x14ac:dyDescent="0.25">
      <c r="B490" s="84"/>
      <c r="C490" s="85"/>
      <c r="D490" s="11" t="str">
        <f>Basisgegevens!$D$38</f>
        <v>wiellaadschop 1 m³</v>
      </c>
      <c r="E490" s="85"/>
      <c r="F490" s="85"/>
      <c r="G490" s="85"/>
      <c r="H490" s="86" t="s">
        <v>111</v>
      </c>
      <c r="I490" s="87">
        <v>125</v>
      </c>
      <c r="J490" s="9"/>
      <c r="K490" s="87">
        <f>5*5/I490*K466</f>
        <v>0</v>
      </c>
      <c r="L490" s="86"/>
      <c r="M490" s="98">
        <f>Basisgegevens!$M$38</f>
        <v>67.5</v>
      </c>
      <c r="N490" s="86"/>
      <c r="O490" s="81">
        <f>K490*M490</f>
        <v>0</v>
      </c>
      <c r="P490" s="99"/>
      <c r="R490" t="s">
        <v>365</v>
      </c>
      <c r="S490" s="126">
        <f>VLOOKUP(Input!$R$14,R488:S489,2,0)</f>
        <v>0</v>
      </c>
      <c r="T490" s="1"/>
    </row>
    <row r="491" spans="2:21" customFormat="1" x14ac:dyDescent="0.25">
      <c r="B491" s="84"/>
      <c r="C491" s="85"/>
      <c r="D491" s="45" t="str">
        <f>Basisgegevens!$D$13</f>
        <v>grondwerker</v>
      </c>
      <c r="E491" s="85"/>
      <c r="F491" s="85"/>
      <c r="G491" s="85"/>
      <c r="H491" s="100" t="s">
        <v>111</v>
      </c>
      <c r="I491" s="87">
        <v>125</v>
      </c>
      <c r="J491" s="9"/>
      <c r="K491" s="87">
        <f>5*5/I491*K466</f>
        <v>0</v>
      </c>
      <c r="L491" s="86"/>
      <c r="M491" s="98">
        <f>Basisgegevens!$M$13</f>
        <v>35</v>
      </c>
      <c r="N491" s="86"/>
      <c r="O491" s="81">
        <f>M491*K491</f>
        <v>0</v>
      </c>
      <c r="P491" s="99"/>
      <c r="R491" s="58" t="s">
        <v>364</v>
      </c>
      <c r="S491" s="58" t="str">
        <f>D497</f>
        <v>bss KF antraciet, dik 80</v>
      </c>
      <c r="T491" s="1"/>
    </row>
    <row r="492" spans="2:21" customFormat="1" x14ac:dyDescent="0.25">
      <c r="B492" s="84"/>
      <c r="C492" s="85"/>
      <c r="D492" s="86" t="s">
        <v>210</v>
      </c>
      <c r="E492" s="85"/>
      <c r="F492" s="85"/>
      <c r="G492" s="85"/>
      <c r="H492" s="100"/>
      <c r="I492" s="87"/>
      <c r="J492" s="9"/>
      <c r="K492" s="87"/>
      <c r="L492" s="86"/>
      <c r="M492" s="98"/>
      <c r="N492" s="86"/>
      <c r="O492" s="81"/>
      <c r="P492" s="99"/>
      <c r="R492" s="109">
        <v>3</v>
      </c>
      <c r="S492" s="96">
        <f>K466*25*0.09*45*1/1000</f>
        <v>0</v>
      </c>
      <c r="T492" s="118">
        <v>1</v>
      </c>
    </row>
    <row r="493" spans="2:21" customFormat="1" x14ac:dyDescent="0.25">
      <c r="B493" s="84"/>
      <c r="C493" s="85"/>
      <c r="D493" s="45" t="str">
        <f>Basisgegevens!$D$86</f>
        <v>brekerzand</v>
      </c>
      <c r="E493" s="85"/>
      <c r="F493" s="85"/>
      <c r="G493" s="85"/>
      <c r="H493" s="100" t="s">
        <v>168</v>
      </c>
      <c r="I493" s="87">
        <v>1</v>
      </c>
      <c r="J493" s="9"/>
      <c r="K493" s="87">
        <f>(K466*5*5)*(0.05*1.7)</f>
        <v>0</v>
      </c>
      <c r="L493" s="86"/>
      <c r="M493" s="98">
        <f>Basisgegevens!$M$86</f>
        <v>8.5</v>
      </c>
      <c r="N493" s="86"/>
      <c r="O493" s="81">
        <f>M493*K493</f>
        <v>0</v>
      </c>
      <c r="P493" s="99"/>
      <c r="R493" s="17">
        <v>2</v>
      </c>
      <c r="S493" s="96">
        <f>K466*25*0.09*45*0.15/1000</f>
        <v>0</v>
      </c>
      <c r="T493" s="118">
        <v>0.15</v>
      </c>
    </row>
    <row r="494" spans="2:21" customFormat="1" x14ac:dyDescent="0.25">
      <c r="B494" s="84"/>
      <c r="C494" s="85"/>
      <c r="D494" s="86" t="s">
        <v>452</v>
      </c>
      <c r="E494" s="85"/>
      <c r="F494" s="85"/>
      <c r="G494" s="85"/>
      <c r="H494" s="100"/>
      <c r="I494" s="90"/>
      <c r="J494" s="9"/>
      <c r="K494" s="87"/>
      <c r="L494" s="86"/>
      <c r="M494" s="98"/>
      <c r="N494" s="86"/>
      <c r="O494" s="81"/>
      <c r="P494" s="99"/>
      <c r="R494" t="s">
        <v>365</v>
      </c>
      <c r="S494" s="126">
        <f>VLOOKUP(Input!$R$14,R492:S493,2,0)</f>
        <v>0</v>
      </c>
      <c r="T494" s="1"/>
    </row>
    <row r="495" spans="2:21" customFormat="1" x14ac:dyDescent="0.25">
      <c r="B495" s="84"/>
      <c r="C495" s="85"/>
      <c r="D495" s="45" t="str">
        <f>Basisgegevens!$D$101</f>
        <v>bss KF engels rood, dik 80</v>
      </c>
      <c r="E495" s="85"/>
      <c r="F495" s="85"/>
      <c r="G495" s="85"/>
      <c r="H495" s="100" t="s">
        <v>208</v>
      </c>
      <c r="I495" s="90">
        <v>1</v>
      </c>
      <c r="J495" s="9"/>
      <c r="K495" s="87">
        <f>S486</f>
        <v>0</v>
      </c>
      <c r="L495" s="86"/>
      <c r="M495" s="88">
        <f>Basisgegevens!$M$101</f>
        <v>270</v>
      </c>
      <c r="N495" s="86"/>
      <c r="O495" s="81">
        <f>K495*M495</f>
        <v>0</v>
      </c>
      <c r="P495" s="99"/>
      <c r="R495" s="58" t="s">
        <v>364</v>
      </c>
      <c r="S495" s="58" t="str">
        <f>D504</f>
        <v>trottoirband 130/150x250</v>
      </c>
      <c r="T495" s="1"/>
    </row>
    <row r="496" spans="2:21" customFormat="1" x14ac:dyDescent="0.25">
      <c r="B496" s="84"/>
      <c r="C496" s="85"/>
      <c r="D496" s="45" t="str">
        <f>Basisgegevens!$D$102</f>
        <v>bisschopmuts engels rood, dik 80</v>
      </c>
      <c r="E496" s="85"/>
      <c r="F496" s="85"/>
      <c r="G496" s="85"/>
      <c r="H496" s="100" t="s">
        <v>208</v>
      </c>
      <c r="I496" s="90">
        <v>1</v>
      </c>
      <c r="J496" s="9"/>
      <c r="K496" s="87">
        <f>S490</f>
        <v>0</v>
      </c>
      <c r="L496" s="86"/>
      <c r="M496" s="88">
        <f>Basisgegevens!$M$102</f>
        <v>675</v>
      </c>
      <c r="N496" s="86"/>
      <c r="O496" s="81">
        <f>K496*M496</f>
        <v>0</v>
      </c>
      <c r="P496" s="99"/>
      <c r="R496" s="109">
        <v>3</v>
      </c>
      <c r="S496" s="96">
        <f>K466*8.6*2*1</f>
        <v>0</v>
      </c>
      <c r="T496" s="118">
        <v>1</v>
      </c>
    </row>
    <row r="497" spans="2:21" customFormat="1" x14ac:dyDescent="0.25">
      <c r="B497" s="84"/>
      <c r="C497" s="85"/>
      <c r="D497" s="45" t="str">
        <f>Basisgegevens!$D$103</f>
        <v>bss KF antraciet, dik 80</v>
      </c>
      <c r="E497" s="85"/>
      <c r="F497" s="85"/>
      <c r="G497" s="85"/>
      <c r="H497" s="100" t="s">
        <v>208</v>
      </c>
      <c r="I497" s="90">
        <v>2</v>
      </c>
      <c r="J497" s="9"/>
      <c r="K497" s="87">
        <f>S494</f>
        <v>0</v>
      </c>
      <c r="L497" s="86"/>
      <c r="M497" s="88">
        <f>Basisgegevens!$M$103</f>
        <v>288</v>
      </c>
      <c r="N497" s="86"/>
      <c r="O497" s="81">
        <f>K497*M497</f>
        <v>0</v>
      </c>
      <c r="P497" s="99"/>
      <c r="R497" s="17">
        <v>2</v>
      </c>
      <c r="S497" s="96">
        <f>K466*8.6*2*0.15</f>
        <v>0</v>
      </c>
      <c r="T497" s="118">
        <v>0.15</v>
      </c>
    </row>
    <row r="498" spans="2:21" customFormat="1" x14ac:dyDescent="0.25">
      <c r="B498" s="84"/>
      <c r="C498" s="85"/>
      <c r="D498" s="86" t="s">
        <v>458</v>
      </c>
      <c r="E498" s="85"/>
      <c r="F498" s="85"/>
      <c r="G498" s="85"/>
      <c r="H498" s="86" t="s">
        <v>29</v>
      </c>
      <c r="I498" s="89"/>
      <c r="J498" s="9"/>
      <c r="K498" s="87"/>
      <c r="L498" s="86"/>
      <c r="M498" s="86"/>
      <c r="N498" s="86"/>
      <c r="O498" s="86"/>
      <c r="P498" s="99"/>
      <c r="R498" t="s">
        <v>365</v>
      </c>
      <c r="S498" s="126">
        <f>VLOOKUP(Input!$R$14,R496:S497,2,0)</f>
        <v>0</v>
      </c>
      <c r="T498" s="1"/>
    </row>
    <row r="499" spans="2:21" customFormat="1" x14ac:dyDescent="0.25">
      <c r="B499" s="84"/>
      <c r="C499" s="85"/>
      <c r="D499" s="11" t="str">
        <f>Basisgegevens!$D$14</f>
        <v>stratenmaker</v>
      </c>
      <c r="E499" s="85"/>
      <c r="F499" s="85"/>
      <c r="G499" s="85"/>
      <c r="H499" s="86" t="s">
        <v>111</v>
      </c>
      <c r="I499" s="87">
        <v>10</v>
      </c>
      <c r="J499" s="9"/>
      <c r="K499" s="87">
        <f>$K$504/I499</f>
        <v>0</v>
      </c>
      <c r="L499" s="86"/>
      <c r="M499" s="98">
        <f>Basisgegevens!$M$14</f>
        <v>38</v>
      </c>
      <c r="N499" s="86"/>
      <c r="O499" s="81">
        <f>M499*K499</f>
        <v>0</v>
      </c>
      <c r="P499" s="99"/>
      <c r="R499" s="1"/>
      <c r="S499" s="1"/>
      <c r="T499" s="1"/>
      <c r="U499" s="1"/>
    </row>
    <row r="500" spans="2:21" customFormat="1" x14ac:dyDescent="0.25">
      <c r="B500" s="84"/>
      <c r="C500" s="85"/>
      <c r="D500" s="11" t="str">
        <f>Basisgegevens!$D$14</f>
        <v>stratenmaker</v>
      </c>
      <c r="E500" s="85"/>
      <c r="F500" s="85"/>
      <c r="G500" s="85"/>
      <c r="H500" s="86" t="s">
        <v>111</v>
      </c>
      <c r="I500" s="87">
        <v>10</v>
      </c>
      <c r="J500" s="9"/>
      <c r="K500" s="87">
        <f>$K$504/I500</f>
        <v>0</v>
      </c>
      <c r="L500" s="86"/>
      <c r="M500" s="98">
        <f>Basisgegevens!$M$14</f>
        <v>38</v>
      </c>
      <c r="N500" s="86"/>
      <c r="O500" s="81">
        <f>M500*K500</f>
        <v>0</v>
      </c>
      <c r="P500" s="99"/>
      <c r="R500" s="1"/>
      <c r="S500" s="1"/>
      <c r="T500" s="1"/>
    </row>
    <row r="501" spans="2:21" customFormat="1" x14ac:dyDescent="0.25">
      <c r="B501" s="84"/>
      <c r="C501" s="85"/>
      <c r="D501" s="45" t="str">
        <f>Basisgegevens!$D$13</f>
        <v>grondwerker</v>
      </c>
      <c r="E501" s="85"/>
      <c r="F501" s="85"/>
      <c r="G501" s="85"/>
      <c r="H501" s="100" t="s">
        <v>111</v>
      </c>
      <c r="I501" s="87">
        <v>10</v>
      </c>
      <c r="J501" s="9"/>
      <c r="K501" s="87">
        <f>$K$504/I501</f>
        <v>0</v>
      </c>
      <c r="L501" s="86"/>
      <c r="M501" s="98">
        <f>Basisgegevens!$M$13</f>
        <v>35</v>
      </c>
      <c r="N501" s="86"/>
      <c r="O501" s="81">
        <f>M501*K501</f>
        <v>0</v>
      </c>
      <c r="P501" s="99"/>
      <c r="R501" s="1"/>
      <c r="S501" s="1"/>
      <c r="T501" s="1"/>
    </row>
    <row r="502" spans="2:21" customFormat="1" x14ac:dyDescent="0.25">
      <c r="B502" s="84"/>
      <c r="C502" s="85"/>
      <c r="D502" s="11" t="str">
        <f>Basisgegevens!$D$38</f>
        <v>wiellaadschop 1 m³</v>
      </c>
      <c r="E502" s="85"/>
      <c r="F502" s="85"/>
      <c r="G502" s="85"/>
      <c r="H502" s="86" t="s">
        <v>111</v>
      </c>
      <c r="I502" s="87">
        <v>125</v>
      </c>
      <c r="J502" s="9"/>
      <c r="K502" s="87">
        <f>$K$504/I502</f>
        <v>0</v>
      </c>
      <c r="L502" s="86"/>
      <c r="M502" s="98">
        <f>Basisgegevens!$M$38</f>
        <v>67.5</v>
      </c>
      <c r="N502" s="86"/>
      <c r="O502" s="81">
        <f>K502*M502</f>
        <v>0</v>
      </c>
      <c r="P502" s="99"/>
      <c r="R502" s="17"/>
      <c r="S502" s="96"/>
      <c r="T502" s="118"/>
    </row>
    <row r="503" spans="2:21" customFormat="1" x14ac:dyDescent="0.25">
      <c r="B503" s="110"/>
      <c r="C503" s="111"/>
      <c r="D503" s="86" t="s">
        <v>214</v>
      </c>
      <c r="E503" s="85"/>
      <c r="F503" s="85"/>
      <c r="G503" s="85"/>
      <c r="H503" s="100"/>
      <c r="I503" s="87"/>
      <c r="J503" s="9"/>
      <c r="K503" s="87"/>
      <c r="L503" s="86"/>
      <c r="M503" s="98"/>
      <c r="N503" s="86"/>
      <c r="O503" s="81"/>
      <c r="P503" s="112"/>
      <c r="S503" s="126"/>
      <c r="T503" s="1"/>
    </row>
    <row r="504" spans="2:21" customFormat="1" x14ac:dyDescent="0.25">
      <c r="B504" s="110"/>
      <c r="C504" s="111"/>
      <c r="D504" s="45" t="str">
        <f>Basisgegevens!$D$114</f>
        <v>trottoirband 130/150x250</v>
      </c>
      <c r="E504" s="85"/>
      <c r="F504" s="85"/>
      <c r="G504" s="85"/>
      <c r="H504" s="100" t="s">
        <v>135</v>
      </c>
      <c r="I504" s="87">
        <v>1</v>
      </c>
      <c r="J504" s="9"/>
      <c r="K504" s="87">
        <f>S498</f>
        <v>0</v>
      </c>
      <c r="L504" s="86"/>
      <c r="M504" s="98">
        <f>Basisgegevens!$M$114</f>
        <v>10</v>
      </c>
      <c r="N504" s="86"/>
      <c r="O504" s="81">
        <f>M504*K504</f>
        <v>0</v>
      </c>
      <c r="P504" s="112"/>
      <c r="R504" s="17"/>
      <c r="S504" s="96"/>
      <c r="T504" s="118"/>
    </row>
    <row r="505" spans="2:21" customFormat="1" x14ac:dyDescent="0.25">
      <c r="B505" s="110"/>
      <c r="C505" s="111"/>
      <c r="D505" s="86" t="s">
        <v>459</v>
      </c>
      <c r="E505" s="85"/>
      <c r="F505" s="85"/>
      <c r="G505" s="85"/>
      <c r="H505" s="100"/>
      <c r="I505" s="87"/>
      <c r="J505" s="9"/>
      <c r="K505" s="87"/>
      <c r="L505" s="86"/>
      <c r="M505" s="98"/>
      <c r="N505" s="86"/>
      <c r="O505" s="81"/>
      <c r="P505" s="112"/>
      <c r="S505" s="126"/>
      <c r="T505" s="1"/>
    </row>
    <row r="506" spans="2:21" customFormat="1" x14ac:dyDescent="0.25">
      <c r="B506" s="110"/>
      <c r="C506" s="111"/>
      <c r="D506" s="45" t="str">
        <f>Basisgegevens!$D$13</f>
        <v>grondwerker</v>
      </c>
      <c r="E506" s="85"/>
      <c r="F506" s="85"/>
      <c r="G506" s="85"/>
      <c r="H506" s="100" t="s">
        <v>111</v>
      </c>
      <c r="I506" s="87">
        <v>1</v>
      </c>
      <c r="J506" s="9"/>
      <c r="K506" s="87">
        <f>K466*4*I506</f>
        <v>0</v>
      </c>
      <c r="L506" s="86"/>
      <c r="M506" s="98">
        <f>Basisgegevens!$M$13</f>
        <v>35</v>
      </c>
      <c r="N506" s="86"/>
      <c r="O506" s="81">
        <f>M506*K506</f>
        <v>0</v>
      </c>
      <c r="P506" s="112"/>
      <c r="S506" s="126"/>
      <c r="T506" s="1"/>
    </row>
    <row r="507" spans="2:21" customFormat="1" x14ac:dyDescent="0.25">
      <c r="B507" s="110"/>
      <c r="C507" s="111"/>
      <c r="D507" s="86" t="s">
        <v>460</v>
      </c>
      <c r="E507" s="85"/>
      <c r="F507" s="85"/>
      <c r="G507" s="85"/>
      <c r="H507" s="100"/>
      <c r="I507" s="87"/>
      <c r="J507" s="9"/>
      <c r="K507" s="87"/>
      <c r="L507" s="86"/>
      <c r="M507" s="98"/>
      <c r="N507" s="86"/>
      <c r="O507" s="81"/>
      <c r="P507" s="112"/>
      <c r="S507" s="126"/>
      <c r="T507" s="1"/>
    </row>
    <row r="508" spans="2:21" customFormat="1" x14ac:dyDescent="0.25">
      <c r="B508" s="110"/>
      <c r="C508" s="111"/>
      <c r="D508" s="45" t="str">
        <f>Basisgegevens!$D$129</f>
        <v>talipaal</v>
      </c>
      <c r="E508" s="85"/>
      <c r="F508" s="85"/>
      <c r="G508" s="85"/>
      <c r="H508" s="100" t="s">
        <v>60</v>
      </c>
      <c r="I508" s="87">
        <v>1</v>
      </c>
      <c r="J508" s="9"/>
      <c r="K508" s="87">
        <f>K466*4*I508</f>
        <v>0</v>
      </c>
      <c r="L508" s="86"/>
      <c r="M508" s="98">
        <f>Basisgegevens!$M$129</f>
        <v>50</v>
      </c>
      <c r="N508" s="86"/>
      <c r="O508" s="81">
        <f>M508*K508</f>
        <v>0</v>
      </c>
      <c r="P508" s="112"/>
      <c r="S508" s="126"/>
      <c r="T508" s="1"/>
    </row>
    <row r="509" spans="2:21" ht="15" customHeight="1" x14ac:dyDescent="0.25">
      <c r="B509" s="73"/>
      <c r="C509" s="83"/>
      <c r="D509" s="83" t="s">
        <v>22</v>
      </c>
      <c r="E509" s="83"/>
      <c r="F509" s="83"/>
      <c r="G509" s="83"/>
      <c r="H509" s="83" t="str">
        <f>H466</f>
        <v>st</v>
      </c>
      <c r="I509" s="80"/>
      <c r="J509" s="83"/>
      <c r="K509" s="80">
        <f>K466</f>
        <v>0</v>
      </c>
      <c r="L509" s="83"/>
      <c r="M509" s="103" t="e">
        <f>O509/K466</f>
        <v>#DIV/0!</v>
      </c>
      <c r="N509" s="83"/>
      <c r="O509" s="103">
        <f>SUM(O467:O508)</f>
        <v>0</v>
      </c>
      <c r="P509" s="104"/>
      <c r="Q509"/>
      <c r="R509"/>
      <c r="S509" s="126"/>
    </row>
    <row r="510" spans="2:21" ht="5.0999999999999996" customHeight="1" thickBot="1" x14ac:dyDescent="0.3">
      <c r="B510" s="12"/>
      <c r="C510" s="13"/>
      <c r="D510" s="13"/>
      <c r="E510" s="13"/>
      <c r="F510" s="13"/>
      <c r="G510" s="13"/>
      <c r="H510" s="13"/>
      <c r="I510" s="15"/>
      <c r="J510" s="13"/>
      <c r="K510" s="15"/>
      <c r="L510" s="13"/>
      <c r="M510" s="13"/>
      <c r="N510" s="13"/>
      <c r="O510" s="13"/>
      <c r="P510" s="14"/>
    </row>
    <row r="511" spans="2:21" ht="30" customHeight="1" thickBot="1" x14ac:dyDescent="0.3">
      <c r="Q511"/>
      <c r="R511"/>
    </row>
    <row r="512" spans="2:21" ht="5.0999999999999996" customHeight="1" x14ac:dyDescent="0.25">
      <c r="B512" s="3"/>
      <c r="C512" s="4"/>
      <c r="D512" s="4"/>
      <c r="E512" s="4"/>
      <c r="F512" s="4"/>
      <c r="G512" s="4"/>
      <c r="H512" s="55"/>
      <c r="I512" s="4"/>
      <c r="J512" s="4"/>
      <c r="K512" s="4"/>
      <c r="L512" s="4"/>
      <c r="M512" s="4"/>
      <c r="N512" s="4"/>
      <c r="O512" s="4"/>
      <c r="P512" s="5"/>
      <c r="Q512"/>
    </row>
    <row r="513" spans="2:21" x14ac:dyDescent="0.25">
      <c r="B513" s="34"/>
      <c r="C513" s="94"/>
      <c r="D513" s="36"/>
      <c r="E513" s="36"/>
      <c r="F513" s="36"/>
      <c r="G513" s="36"/>
      <c r="H513" s="36"/>
      <c r="I513" s="44"/>
      <c r="J513" s="36"/>
      <c r="K513" s="44"/>
      <c r="L513" s="36"/>
      <c r="M513" s="36"/>
      <c r="N513" s="36"/>
      <c r="O513" s="36"/>
      <c r="P513" s="37"/>
      <c r="Q513"/>
    </row>
    <row r="514" spans="2:21" x14ac:dyDescent="0.25">
      <c r="B514" s="34"/>
      <c r="C514" s="35" t="s">
        <v>438</v>
      </c>
      <c r="D514" s="36"/>
      <c r="E514" s="36"/>
      <c r="F514" s="36"/>
      <c r="G514" s="36"/>
      <c r="H514"/>
      <c r="I514" s="44"/>
      <c r="J514"/>
      <c r="K514" s="44"/>
      <c r="L514" s="36"/>
      <c r="O514" s="71" t="s">
        <v>62</v>
      </c>
      <c r="P514" s="37"/>
      <c r="Q514"/>
      <c r="R514" s="105" t="s">
        <v>137</v>
      </c>
    </row>
    <row r="515" spans="2:21" ht="15.75" thickBot="1" x14ac:dyDescent="0.3">
      <c r="B515" s="68"/>
      <c r="C515" s="48" t="s">
        <v>56</v>
      </c>
      <c r="D515" s="48" t="s">
        <v>55</v>
      </c>
      <c r="E515" s="50"/>
      <c r="F515" s="48"/>
      <c r="G515" s="48"/>
      <c r="H515" s="48" t="s">
        <v>107</v>
      </c>
      <c r="I515" s="78" t="s">
        <v>108</v>
      </c>
      <c r="J515" s="69"/>
      <c r="K515" s="82" t="s">
        <v>110</v>
      </c>
      <c r="L515" s="48"/>
      <c r="M515" s="48" t="s">
        <v>109</v>
      </c>
      <c r="N515" s="48"/>
      <c r="O515" s="48" t="s">
        <v>19</v>
      </c>
      <c r="P515" s="70"/>
      <c r="Q515"/>
      <c r="R515" s="1" t="s">
        <v>442</v>
      </c>
    </row>
    <row r="516" spans="2:21" x14ac:dyDescent="0.25">
      <c r="B516" s="84"/>
      <c r="C516" s="85"/>
      <c r="D516" s="1" t="s">
        <v>443</v>
      </c>
      <c r="H516" s="86" t="s">
        <v>60</v>
      </c>
      <c r="K516" s="87">
        <f>Input!$G$53</f>
        <v>0</v>
      </c>
      <c r="P516" s="99"/>
      <c r="Q516"/>
      <c r="R516" t="s">
        <v>444</v>
      </c>
    </row>
    <row r="517" spans="2:21" customFormat="1" x14ac:dyDescent="0.25">
      <c r="B517" s="84"/>
      <c r="C517" s="85"/>
      <c r="D517" s="86" t="s">
        <v>439</v>
      </c>
      <c r="E517" s="85"/>
      <c r="F517" s="85"/>
      <c r="G517" s="85"/>
      <c r="H517" s="86" t="s">
        <v>60</v>
      </c>
      <c r="I517" s="90"/>
      <c r="J517" s="9"/>
      <c r="K517" s="87"/>
      <c r="L517" s="86"/>
      <c r="M517" s="86"/>
      <c r="N517" s="86"/>
      <c r="O517" s="86"/>
      <c r="P517" s="99"/>
      <c r="R517" t="s">
        <v>445</v>
      </c>
      <c r="S517" s="1"/>
      <c r="T517" s="1"/>
      <c r="U517" s="1"/>
    </row>
    <row r="518" spans="2:21" customFormat="1" x14ac:dyDescent="0.25">
      <c r="B518" s="84"/>
      <c r="C518" s="85"/>
      <c r="D518" s="45" t="str">
        <f>Basisgegevens!$D$35</f>
        <v>hydraulische kraan 800 liter</v>
      </c>
      <c r="E518" s="85"/>
      <c r="F518" s="85"/>
      <c r="G518" s="85"/>
      <c r="H518" s="86" t="s">
        <v>111</v>
      </c>
      <c r="I518" s="87">
        <v>0.5</v>
      </c>
      <c r="J518" s="9"/>
      <c r="K518" s="87">
        <f>K516/I518*2</f>
        <v>0</v>
      </c>
      <c r="L518" s="86"/>
      <c r="M518" s="98">
        <f>Basisgegevens!$M$14</f>
        <v>38</v>
      </c>
      <c r="N518" s="86"/>
      <c r="O518" s="81">
        <f>M518*K518</f>
        <v>0</v>
      </c>
      <c r="P518" s="99"/>
      <c r="R518" s="1" t="s">
        <v>446</v>
      </c>
      <c r="S518" s="1"/>
      <c r="T518" s="1"/>
      <c r="U518" s="1"/>
    </row>
    <row r="519" spans="2:21" customFormat="1" x14ac:dyDescent="0.25">
      <c r="B519" s="84"/>
      <c r="C519" s="85"/>
      <c r="D519" s="86" t="s">
        <v>440</v>
      </c>
      <c r="E519" s="85"/>
      <c r="F519" s="85"/>
      <c r="G519" s="85"/>
      <c r="H519" s="86" t="s">
        <v>60</v>
      </c>
      <c r="I519" s="87"/>
      <c r="J519" s="9"/>
      <c r="K519" s="87"/>
      <c r="L519" s="86"/>
      <c r="M519" s="98"/>
      <c r="N519" s="86"/>
      <c r="O519" s="81"/>
      <c r="P519" s="99"/>
      <c r="R519" s="1"/>
      <c r="S519" s="1"/>
      <c r="T519" s="1"/>
      <c r="U519" s="1"/>
    </row>
    <row r="520" spans="2:21" customFormat="1" x14ac:dyDescent="0.25">
      <c r="B520" s="84"/>
      <c r="C520" s="85"/>
      <c r="D520" s="45" t="str">
        <f>Basisgegevens!$D$128</f>
        <v>30km poort, portaal en bebording</v>
      </c>
      <c r="E520" s="85"/>
      <c r="F520" s="85"/>
      <c r="G520" s="85"/>
      <c r="H520" s="86" t="s">
        <v>111</v>
      </c>
      <c r="I520" s="87">
        <v>1</v>
      </c>
      <c r="J520" s="9"/>
      <c r="K520" s="87">
        <f>K516/I520*2</f>
        <v>0</v>
      </c>
      <c r="L520" s="86"/>
      <c r="M520" s="98">
        <f>Basisgegevens!$M$128</f>
        <v>300</v>
      </c>
      <c r="N520" s="86"/>
      <c r="O520" s="81">
        <f>M520*K520</f>
        <v>0</v>
      </c>
      <c r="P520" s="99"/>
      <c r="R520" s="1"/>
      <c r="S520" s="1"/>
      <c r="T520" s="1"/>
      <c r="U520" s="1"/>
    </row>
    <row r="521" spans="2:21" customFormat="1" x14ac:dyDescent="0.25">
      <c r="B521" s="84"/>
      <c r="C521" s="85"/>
      <c r="D521" s="45" t="str">
        <f>Basisgegevens!$D$13</f>
        <v>grondwerker</v>
      </c>
      <c r="E521" s="85"/>
      <c r="F521" s="85"/>
      <c r="G521" s="85"/>
      <c r="H521" s="100" t="s">
        <v>111</v>
      </c>
      <c r="I521" s="87">
        <v>0.5</v>
      </c>
      <c r="J521" s="9"/>
      <c r="K521" s="87">
        <f>K516/I521*2</f>
        <v>0</v>
      </c>
      <c r="L521" s="86"/>
      <c r="M521" s="98">
        <f>Basisgegevens!$M$13</f>
        <v>35</v>
      </c>
      <c r="N521" s="86"/>
      <c r="O521" s="81">
        <f>M521*K521</f>
        <v>0</v>
      </c>
      <c r="P521" s="99"/>
      <c r="R521" s="1"/>
      <c r="S521" s="1"/>
      <c r="T521" s="1"/>
      <c r="U521" s="1"/>
    </row>
    <row r="522" spans="2:21" customFormat="1" x14ac:dyDescent="0.25">
      <c r="B522" s="84"/>
      <c r="C522" s="85"/>
      <c r="D522" s="86" t="s">
        <v>254</v>
      </c>
      <c r="E522" s="85"/>
      <c r="F522" s="85"/>
      <c r="G522" s="85"/>
      <c r="H522" s="100"/>
      <c r="I522" s="87"/>
      <c r="J522" s="9"/>
      <c r="K522" s="87"/>
      <c r="L522" s="86"/>
      <c r="M522" s="98"/>
      <c r="N522" s="86"/>
      <c r="O522" s="81"/>
      <c r="P522" s="99"/>
    </row>
    <row r="523" spans="2:21" customFormat="1" x14ac:dyDescent="0.25">
      <c r="B523" s="84"/>
      <c r="C523" s="85"/>
      <c r="D523" s="45" t="str">
        <f>Basisgegevens!$D$18</f>
        <v>landmeetploeg, 2 man incl. materieel</v>
      </c>
      <c r="E523" s="85"/>
      <c r="F523" s="85"/>
      <c r="G523" s="85"/>
      <c r="H523" s="100" t="s">
        <v>111</v>
      </c>
      <c r="I523" s="87">
        <v>1</v>
      </c>
      <c r="J523" s="9"/>
      <c r="K523" s="87">
        <f>K516/I523</f>
        <v>0</v>
      </c>
      <c r="L523" s="86"/>
      <c r="M523" s="98">
        <f>Basisgegevens!$M$18</f>
        <v>110</v>
      </c>
      <c r="N523" s="86"/>
      <c r="O523" s="81">
        <f>M523*K523</f>
        <v>0</v>
      </c>
      <c r="P523" s="99"/>
    </row>
    <row r="524" spans="2:21" customFormat="1" x14ac:dyDescent="0.25">
      <c r="B524" s="84"/>
      <c r="C524" s="85"/>
      <c r="D524" s="86" t="s">
        <v>255</v>
      </c>
      <c r="E524" s="85"/>
      <c r="F524" s="85"/>
      <c r="G524" s="85"/>
      <c r="H524" s="100"/>
      <c r="I524" s="87"/>
      <c r="J524" s="9"/>
      <c r="K524" s="87"/>
      <c r="L524" s="86"/>
      <c r="M524" s="98"/>
      <c r="N524" s="86"/>
      <c r="O524" s="81"/>
      <c r="P524" s="99"/>
    </row>
    <row r="525" spans="2:21" customFormat="1" x14ac:dyDescent="0.25">
      <c r="B525" s="84"/>
      <c r="C525" s="85"/>
      <c r="D525" s="45" t="str">
        <f>Basisgegevens!$D$123</f>
        <v>thermoplast figuratie</v>
      </c>
      <c r="E525" s="85"/>
      <c r="F525" s="85"/>
      <c r="G525" s="85"/>
      <c r="H525" s="100" t="s">
        <v>59</v>
      </c>
      <c r="I525" s="87">
        <v>3</v>
      </c>
      <c r="J525" s="9"/>
      <c r="K525" s="87">
        <f>I525*K516</f>
        <v>0</v>
      </c>
      <c r="L525" s="86"/>
      <c r="M525" s="98">
        <f>Basisgegevens!$M$123</f>
        <v>45</v>
      </c>
      <c r="N525" s="86"/>
      <c r="O525" s="81">
        <f>M525*K525</f>
        <v>0</v>
      </c>
      <c r="P525" s="99"/>
    </row>
    <row r="526" spans="2:21" ht="15" customHeight="1" x14ac:dyDescent="0.25">
      <c r="B526" s="73"/>
      <c r="C526" s="83"/>
      <c r="D526" s="83" t="s">
        <v>22</v>
      </c>
      <c r="E526" s="83"/>
      <c r="F526" s="83"/>
      <c r="G526" s="83"/>
      <c r="H526" s="83" t="str">
        <f>H517</f>
        <v>st</v>
      </c>
      <c r="I526" s="80"/>
      <c r="J526" s="83"/>
      <c r="K526" s="80">
        <f>K516</f>
        <v>0</v>
      </c>
      <c r="L526" s="83"/>
      <c r="M526" s="103" t="e">
        <f>O526/K516</f>
        <v>#DIV/0!</v>
      </c>
      <c r="N526" s="83"/>
      <c r="O526" s="103">
        <f>SUM(O518:O521)</f>
        <v>0</v>
      </c>
      <c r="P526" s="104"/>
      <c r="Q526"/>
      <c r="R526"/>
      <c r="S526" s="126"/>
    </row>
    <row r="527" spans="2:21" ht="5.0999999999999996" customHeight="1" thickBot="1" x14ac:dyDescent="0.3">
      <c r="B527" s="12"/>
      <c r="C527" s="13"/>
      <c r="D527" s="13"/>
      <c r="E527" s="13"/>
      <c r="F527" s="13"/>
      <c r="G527" s="13"/>
      <c r="H527" s="13"/>
      <c r="I527" s="15"/>
      <c r="J527" s="13"/>
      <c r="K527" s="15"/>
      <c r="L527" s="13"/>
      <c r="M527" s="13"/>
      <c r="N527" s="13"/>
      <c r="O527" s="13"/>
      <c r="P527" s="14"/>
    </row>
  </sheetData>
  <sheetProtection selectLockedCells="1" selectUnlockedCells="1"/>
  <mergeCells count="1">
    <mergeCell ref="D6:E6"/>
  </mergeCells>
  <phoneticPr fontId="0" type="noConversion"/>
  <printOptions horizontalCentered="1"/>
  <pageMargins left="0.78740157480314965" right="0.59055118110236227" top="0.98425196850393704" bottom="0.98425196850393704" header="0.51181102362204722" footer="0.51181102362204722"/>
  <pageSetup paperSize="9" scale="85" orientation="portrait" r:id="rId1"/>
  <headerFooter alignWithMargins="0">
    <oddFooter>&amp;L&amp;G
projectnummer: 0509&amp;Rconcept: 11 april 2007
blad &amp;P van &amp;N</oddFooter>
  </headerFooter>
  <rowBreaks count="11" manualBreakCount="11">
    <brk id="48" min="1" max="15" man="1"/>
    <brk id="93" min="1" max="15" man="1"/>
    <brk id="193" min="1" max="15" man="1"/>
    <brk id="226" min="1" max="15" man="1"/>
    <brk id="267" min="1" max="15" man="1"/>
    <brk id="308" min="1" max="15" man="1"/>
    <brk id="351" min="1" max="15" man="1"/>
    <brk id="380" min="1" max="15" man="1"/>
    <brk id="409" min="1" max="15" man="1"/>
    <brk id="460" min="1" max="15" man="1"/>
    <brk id="510" min="1" max="15" man="1"/>
  </rowBreaks>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V89"/>
  <sheetViews>
    <sheetView showGridLines="0" zoomScaleNormal="100" zoomScaleSheetLayoutView="100" workbookViewId="0">
      <selection activeCell="Q5" sqref="Q5"/>
    </sheetView>
  </sheetViews>
  <sheetFormatPr defaultRowHeight="15" x14ac:dyDescent="0.25"/>
  <cols>
    <col min="1" max="1" width="2.7109375" style="1" customWidth="1"/>
    <col min="2" max="2" width="1.7109375" style="1" customWidth="1"/>
    <col min="3" max="5" width="8.7109375" style="1" customWidth="1"/>
    <col min="6" max="7" width="5.7109375" style="1" customWidth="1"/>
    <col min="8" max="8" width="10.7109375" style="22" customWidth="1"/>
    <col min="9" max="9" width="7.7109375" style="1" bestFit="1" customWidth="1"/>
    <col min="10" max="10" width="2.7109375" style="1" customWidth="1"/>
    <col min="11" max="11" width="10.7109375" style="1" customWidth="1"/>
    <col min="12" max="12" width="2.7109375" style="1" customWidth="1"/>
    <col min="13" max="13" width="15.7109375" style="1" customWidth="1"/>
    <col min="14" max="14" width="5.7109375" style="1" customWidth="1"/>
    <col min="15" max="15" width="15.7109375" style="1" customWidth="1"/>
    <col min="16" max="16" width="1.7109375" style="1" customWidth="1"/>
    <col min="17" max="16384" width="9.140625" style="1"/>
  </cols>
  <sheetData>
    <row r="1" spans="1:19" ht="15.75" thickBot="1" x14ac:dyDescent="0.3"/>
    <row r="2" spans="1:19" ht="5.0999999999999996" customHeight="1" x14ac:dyDescent="0.25">
      <c r="A2"/>
      <c r="B2" s="3"/>
      <c r="C2" s="4"/>
      <c r="D2" s="4"/>
      <c r="E2" s="4"/>
      <c r="F2" s="4"/>
      <c r="G2" s="4"/>
      <c r="H2" s="4"/>
      <c r="I2" s="4"/>
      <c r="J2" s="107"/>
      <c r="K2" s="4"/>
      <c r="L2" s="4"/>
      <c r="M2" s="4"/>
      <c r="N2" s="4"/>
      <c r="O2" s="4"/>
      <c r="P2" s="5"/>
      <c r="Q2"/>
      <c r="S2"/>
    </row>
    <row r="3" spans="1:19" ht="18.75" x14ac:dyDescent="0.3">
      <c r="A3"/>
      <c r="B3" s="6"/>
      <c r="C3" s="116" t="s">
        <v>301</v>
      </c>
      <c r="D3" s="116"/>
      <c r="E3" s="116"/>
      <c r="F3" s="116"/>
      <c r="G3" s="116"/>
      <c r="H3"/>
      <c r="I3"/>
      <c r="J3" s="106"/>
      <c r="K3"/>
      <c r="L3"/>
      <c r="M3"/>
      <c r="N3"/>
      <c r="O3"/>
      <c r="P3" s="8"/>
      <c r="Q3"/>
      <c r="S3"/>
    </row>
    <row r="4" spans="1:19" x14ac:dyDescent="0.25">
      <c r="A4"/>
      <c r="B4" s="6"/>
      <c r="C4" s="28" t="s">
        <v>27</v>
      </c>
      <c r="D4" s="28"/>
      <c r="E4" s="28"/>
      <c r="F4" s="28"/>
      <c r="G4" s="28"/>
      <c r="H4" s="28"/>
      <c r="I4" s="28"/>
      <c r="J4" s="28"/>
      <c r="K4" s="28"/>
      <c r="L4"/>
      <c r="M4"/>
      <c r="N4"/>
      <c r="O4"/>
      <c r="P4" s="8"/>
      <c r="Q4"/>
      <c r="S4"/>
    </row>
    <row r="5" spans="1:19" ht="18.75" x14ac:dyDescent="0.3">
      <c r="A5"/>
      <c r="B5" s="6"/>
      <c r="C5" s="116"/>
      <c r="D5"/>
      <c r="E5"/>
      <c r="F5"/>
      <c r="G5"/>
      <c r="H5"/>
      <c r="I5"/>
      <c r="J5" s="106"/>
      <c r="K5"/>
      <c r="L5"/>
      <c r="M5"/>
      <c r="N5"/>
      <c r="O5"/>
      <c r="P5" s="8"/>
      <c r="Q5"/>
      <c r="S5"/>
    </row>
    <row r="6" spans="1:19" x14ac:dyDescent="0.25">
      <c r="A6"/>
      <c r="B6" s="6"/>
      <c r="C6" s="300" t="s">
        <v>1</v>
      </c>
      <c r="D6" s="440">
        <f>Samenvatting!E6</f>
        <v>43186</v>
      </c>
      <c r="E6" s="440">
        <v>0</v>
      </c>
      <c r="F6"/>
      <c r="G6"/>
      <c r="H6"/>
      <c r="I6"/>
      <c r="J6" s="106"/>
      <c r="K6"/>
      <c r="L6"/>
      <c r="M6"/>
      <c r="N6"/>
      <c r="O6"/>
      <c r="P6" s="8"/>
      <c r="Q6"/>
      <c r="S6"/>
    </row>
    <row r="7" spans="1:19" x14ac:dyDescent="0.25">
      <c r="A7"/>
      <c r="B7" s="6"/>
      <c r="C7" s="301" t="s">
        <v>26</v>
      </c>
      <c r="D7" s="302">
        <f>Samenvatting!E7</f>
        <v>0</v>
      </c>
      <c r="E7" s="302"/>
      <c r="F7"/>
      <c r="G7"/>
      <c r="H7"/>
      <c r="I7"/>
      <c r="J7" s="106"/>
      <c r="K7"/>
      <c r="L7"/>
      <c r="M7"/>
      <c r="N7"/>
      <c r="O7"/>
      <c r="P7" s="8"/>
      <c r="Q7"/>
      <c r="S7"/>
    </row>
    <row r="8" spans="1:19" ht="5.0999999999999996" customHeight="1" thickBot="1" x14ac:dyDescent="0.3">
      <c r="A8"/>
      <c r="B8" s="12"/>
      <c r="C8" s="15"/>
      <c r="D8" s="13"/>
      <c r="E8" s="13"/>
      <c r="F8" s="13"/>
      <c r="G8" s="13"/>
      <c r="H8" s="13"/>
      <c r="I8" s="13"/>
      <c r="J8" s="108"/>
      <c r="K8" s="13"/>
      <c r="L8" s="13"/>
      <c r="M8" s="13"/>
      <c r="N8" s="13"/>
      <c r="O8" s="13"/>
      <c r="P8" s="14"/>
      <c r="Q8"/>
      <c r="R8" s="43" t="s">
        <v>58</v>
      </c>
      <c r="S8"/>
    </row>
    <row r="9" spans="1:19" ht="30" customHeight="1" thickBot="1" x14ac:dyDescent="0.3">
      <c r="A9"/>
      <c r="B9"/>
      <c r="C9" s="117"/>
      <c r="D9"/>
      <c r="E9"/>
      <c r="F9"/>
      <c r="G9"/>
      <c r="H9"/>
      <c r="I9"/>
      <c r="J9" s="106"/>
      <c r="K9"/>
      <c r="L9"/>
      <c r="M9"/>
      <c r="N9"/>
      <c r="O9"/>
      <c r="P9"/>
      <c r="Q9"/>
      <c r="S9"/>
    </row>
    <row r="10" spans="1:19" ht="5.0999999999999996" customHeight="1" x14ac:dyDescent="0.25">
      <c r="B10" s="3"/>
      <c r="C10" s="4"/>
      <c r="D10" s="4"/>
      <c r="E10" s="4"/>
      <c r="F10" s="4"/>
      <c r="G10" s="4"/>
      <c r="H10" s="55"/>
      <c r="I10" s="4"/>
      <c r="J10" s="4"/>
      <c r="K10" s="4"/>
      <c r="L10" s="4"/>
      <c r="M10" s="4"/>
      <c r="N10" s="4"/>
      <c r="O10" s="4"/>
      <c r="P10" s="5"/>
      <c r="Q10"/>
      <c r="R10"/>
    </row>
    <row r="11" spans="1:19" x14ac:dyDescent="0.25">
      <c r="B11" s="34"/>
      <c r="C11" s="94"/>
      <c r="D11" s="36"/>
      <c r="E11" s="36"/>
      <c r="F11" s="36"/>
      <c r="G11" s="36"/>
      <c r="H11" s="36"/>
      <c r="I11" s="44"/>
      <c r="J11" s="36"/>
      <c r="K11" s="44"/>
      <c r="L11" s="36"/>
      <c r="M11" s="36"/>
      <c r="N11" s="36"/>
      <c r="O11" s="36"/>
      <c r="P11" s="37"/>
      <c r="Q11"/>
      <c r="R11" s="105" t="s">
        <v>137</v>
      </c>
    </row>
    <row r="12" spans="1:19" x14ac:dyDescent="0.25">
      <c r="B12" s="34"/>
      <c r="C12" s="35" t="s">
        <v>305</v>
      </c>
      <c r="D12" s="36"/>
      <c r="E12" s="36"/>
      <c r="F12" s="36"/>
      <c r="G12" s="36"/>
      <c r="H12"/>
      <c r="I12" s="44"/>
      <c r="J12"/>
      <c r="K12" s="44"/>
      <c r="L12" s="36"/>
      <c r="M12" s="113"/>
      <c r="O12" s="71" t="s">
        <v>62</v>
      </c>
      <c r="P12" s="37"/>
      <c r="Q12"/>
      <c r="R12" t="s">
        <v>306</v>
      </c>
    </row>
    <row r="13" spans="1:19" ht="15.75" thickBot="1" x14ac:dyDescent="0.3">
      <c r="B13" s="68"/>
      <c r="C13" s="48" t="s">
        <v>56</v>
      </c>
      <c r="D13" s="48" t="s">
        <v>55</v>
      </c>
      <c r="E13" s="50"/>
      <c r="F13" s="48"/>
      <c r="G13" s="48"/>
      <c r="H13" s="48" t="s">
        <v>107</v>
      </c>
      <c r="I13" s="78" t="s">
        <v>108</v>
      </c>
      <c r="J13" s="69"/>
      <c r="K13" s="82" t="s">
        <v>110</v>
      </c>
      <c r="L13" s="48"/>
      <c r="M13" s="48" t="s">
        <v>109</v>
      </c>
      <c r="N13" s="48"/>
      <c r="O13" s="48" t="s">
        <v>19</v>
      </c>
      <c r="P13" s="70"/>
      <c r="Q13"/>
      <c r="R13" s="1" t="s">
        <v>307</v>
      </c>
      <c r="S13" s="43" t="s">
        <v>57</v>
      </c>
    </row>
    <row r="14" spans="1:19" x14ac:dyDescent="0.25">
      <c r="B14" s="84"/>
      <c r="C14" s="85"/>
      <c r="D14" s="86" t="s">
        <v>302</v>
      </c>
      <c r="E14" s="85"/>
      <c r="F14" s="85"/>
      <c r="G14" s="85"/>
      <c r="H14" s="86" t="s">
        <v>60</v>
      </c>
      <c r="I14" s="89"/>
      <c r="J14" s="9"/>
      <c r="K14" s="87">
        <f>SUM(Input!G80)</f>
        <v>0</v>
      </c>
      <c r="L14" s="86"/>
      <c r="M14" s="86"/>
      <c r="N14" s="86"/>
      <c r="O14" s="86"/>
      <c r="P14" s="99"/>
      <c r="Q14"/>
      <c r="R14" s="66" t="s">
        <v>309</v>
      </c>
      <c r="S14" s="43"/>
    </row>
    <row r="15" spans="1:19" x14ac:dyDescent="0.25">
      <c r="B15" s="84"/>
      <c r="C15" s="85"/>
      <c r="D15" s="11" t="str">
        <f>Basisgegevens!$D$13</f>
        <v>grondwerker</v>
      </c>
      <c r="E15" s="85"/>
      <c r="F15" s="85"/>
      <c r="G15" s="85"/>
      <c r="H15" s="86" t="s">
        <v>111</v>
      </c>
      <c r="I15" s="87">
        <v>6</v>
      </c>
      <c r="J15" s="9"/>
      <c r="K15" s="87">
        <f>K14/I15</f>
        <v>0</v>
      </c>
      <c r="L15" s="86"/>
      <c r="M15" s="98">
        <f>Basisgegevens!$M$13</f>
        <v>35</v>
      </c>
      <c r="N15" s="86"/>
      <c r="O15" s="81">
        <f>K15*M15</f>
        <v>0</v>
      </c>
      <c r="P15" s="99"/>
      <c r="Q15"/>
      <c r="R15" s="66" t="s">
        <v>315</v>
      </c>
      <c r="S15" s="43"/>
    </row>
    <row r="16" spans="1:19" x14ac:dyDescent="0.25">
      <c r="B16" s="84"/>
      <c r="C16" s="85"/>
      <c r="D16" s="11" t="str">
        <f>Basisgegevens!$D$35</f>
        <v>hydraulische kraan 800 liter</v>
      </c>
      <c r="E16" s="85"/>
      <c r="F16" s="85"/>
      <c r="G16" s="85"/>
      <c r="H16" s="86" t="s">
        <v>111</v>
      </c>
      <c r="I16" s="87">
        <v>6</v>
      </c>
      <c r="J16" s="9"/>
      <c r="K16" s="87">
        <f>K14/I16</f>
        <v>0</v>
      </c>
      <c r="L16" s="86"/>
      <c r="M16" s="98">
        <f>Basisgegevens!$M$35</f>
        <v>60</v>
      </c>
      <c r="N16" s="86"/>
      <c r="O16" s="81">
        <f>K16*M16</f>
        <v>0</v>
      </c>
      <c r="P16" s="99"/>
      <c r="Q16"/>
      <c r="R16" s="66"/>
      <c r="S16" s="43"/>
    </row>
    <row r="17" spans="2:22" customFormat="1" x14ac:dyDescent="0.25">
      <c r="B17" s="84"/>
      <c r="C17" s="85"/>
      <c r="D17" s="45" t="str">
        <f>Basisgegevens!$D$27</f>
        <v>tractor met hydraulische grondkar 6 m³</v>
      </c>
      <c r="E17" s="85"/>
      <c r="F17" s="85"/>
      <c r="G17" s="85"/>
      <c r="H17" s="100" t="s">
        <v>111</v>
      </c>
      <c r="I17" s="90">
        <v>15</v>
      </c>
      <c r="J17" s="9"/>
      <c r="K17" s="87">
        <f>K14/I17</f>
        <v>0</v>
      </c>
      <c r="L17" s="86"/>
      <c r="M17" s="98">
        <f>Basisgegevens!$M$27</f>
        <v>52</v>
      </c>
      <c r="N17" s="86"/>
      <c r="O17" s="81">
        <f>K17*M17</f>
        <v>0</v>
      </c>
      <c r="P17" s="99"/>
      <c r="S17" s="1"/>
      <c r="V17" s="1"/>
    </row>
    <row r="18" spans="2:22" customFormat="1" x14ac:dyDescent="0.25">
      <c r="B18" s="84"/>
      <c r="C18" s="85"/>
      <c r="D18" s="86" t="s">
        <v>304</v>
      </c>
      <c r="E18" s="85"/>
      <c r="F18" s="85"/>
      <c r="G18" s="85"/>
      <c r="H18" s="100" t="s">
        <v>168</v>
      </c>
      <c r="I18" s="90"/>
      <c r="J18" s="9"/>
      <c r="K18" s="87"/>
      <c r="L18" s="86"/>
      <c r="M18" s="98"/>
      <c r="N18" s="86"/>
      <c r="O18" s="81"/>
      <c r="P18" s="99"/>
      <c r="R18" s="43"/>
      <c r="S18" s="1"/>
      <c r="V18" s="1"/>
    </row>
    <row r="19" spans="2:22" customFormat="1" x14ac:dyDescent="0.25">
      <c r="B19" s="84"/>
      <c r="C19" s="85"/>
      <c r="D19" s="11" t="str">
        <f>Basisgegevens!$D$82</f>
        <v>teelaarde</v>
      </c>
      <c r="E19" s="85"/>
      <c r="F19" s="85"/>
      <c r="G19" s="85"/>
      <c r="H19" s="86" t="s">
        <v>168</v>
      </c>
      <c r="I19" s="87">
        <v>1</v>
      </c>
      <c r="J19" s="9"/>
      <c r="K19" s="87">
        <f>K14*0.5*1.5</f>
        <v>0</v>
      </c>
      <c r="L19" s="86"/>
      <c r="M19" s="98">
        <f>Basisgegevens!$M$82</f>
        <v>6.25</v>
      </c>
      <c r="N19" s="86"/>
      <c r="O19" s="81">
        <f>K19*M19</f>
        <v>0</v>
      </c>
      <c r="P19" s="99"/>
      <c r="R19" s="1"/>
      <c r="S19" s="1"/>
      <c r="V19" s="1"/>
    </row>
    <row r="20" spans="2:22" customFormat="1" x14ac:dyDescent="0.25">
      <c r="B20" s="84"/>
      <c r="C20" s="85"/>
      <c r="D20" s="10" t="s">
        <v>312</v>
      </c>
      <c r="E20" s="85"/>
      <c r="F20" s="85"/>
      <c r="G20" s="85"/>
      <c r="H20" s="86"/>
      <c r="I20" s="87"/>
      <c r="J20" s="9"/>
      <c r="K20" s="87"/>
      <c r="L20" s="86"/>
      <c r="M20" s="98"/>
      <c r="N20" s="86"/>
      <c r="O20" s="81"/>
      <c r="P20" s="99"/>
      <c r="R20" s="1"/>
      <c r="S20" s="43"/>
      <c r="V20" s="1"/>
    </row>
    <row r="21" spans="2:22" customFormat="1" x14ac:dyDescent="0.25">
      <c r="B21" s="84"/>
      <c r="C21" s="85"/>
      <c r="D21" s="11" t="str">
        <f>Basisgegevens!$D$131</f>
        <v>stortkosten bomen/takken</v>
      </c>
      <c r="E21" s="85"/>
      <c r="F21" s="85"/>
      <c r="G21" s="85"/>
      <c r="H21" s="86" t="s">
        <v>168</v>
      </c>
      <c r="I21" s="87">
        <v>1</v>
      </c>
      <c r="J21" s="9"/>
      <c r="K21" s="87">
        <f>K14*0.8</f>
        <v>0</v>
      </c>
      <c r="L21" s="86"/>
      <c r="M21" s="98">
        <f>Basisgegevens!$M$131</f>
        <v>40</v>
      </c>
      <c r="N21" s="86"/>
      <c r="O21" s="81">
        <f>K21*M21</f>
        <v>0</v>
      </c>
      <c r="P21" s="99"/>
      <c r="R21" s="1"/>
      <c r="S21" s="43"/>
      <c r="V21" s="1"/>
    </row>
    <row r="22" spans="2:22" x14ac:dyDescent="0.25">
      <c r="B22" s="73"/>
      <c r="C22" s="83"/>
      <c r="D22" s="83" t="s">
        <v>22</v>
      </c>
      <c r="E22" s="83"/>
      <c r="F22" s="83"/>
      <c r="G22" s="83"/>
      <c r="H22" s="83" t="str">
        <f>H14</f>
        <v>st</v>
      </c>
      <c r="I22" s="80"/>
      <c r="J22" s="83"/>
      <c r="K22" s="80">
        <f>K14</f>
        <v>0</v>
      </c>
      <c r="L22" s="83"/>
      <c r="M22" s="103" t="e">
        <f>O22/K14</f>
        <v>#DIV/0!</v>
      </c>
      <c r="N22" s="83"/>
      <c r="O22" s="103">
        <f>SUM(O15:O21)</f>
        <v>0</v>
      </c>
      <c r="P22" s="104"/>
      <c r="Q22"/>
    </row>
    <row r="23" spans="2:22" ht="5.0999999999999996" customHeight="1" thickBot="1" x14ac:dyDescent="0.3">
      <c r="B23" s="12"/>
      <c r="C23" s="13"/>
      <c r="D23" s="13"/>
      <c r="E23" s="13"/>
      <c r="F23" s="13"/>
      <c r="G23" s="13"/>
      <c r="H23" s="13"/>
      <c r="I23" s="15"/>
      <c r="J23" s="13"/>
      <c r="K23" s="15"/>
      <c r="L23" s="13"/>
      <c r="M23" s="13"/>
      <c r="N23" s="13"/>
      <c r="O23" s="13"/>
      <c r="P23" s="14"/>
      <c r="Q23"/>
      <c r="R23"/>
    </row>
    <row r="24" spans="2:22" ht="30" customHeight="1" thickBot="1" x14ac:dyDescent="0.3"/>
    <row r="25" spans="2:22" ht="5.0999999999999996" customHeight="1" x14ac:dyDescent="0.25">
      <c r="B25" s="3"/>
      <c r="C25" s="4"/>
      <c r="D25" s="4"/>
      <c r="E25" s="4"/>
      <c r="F25" s="4"/>
      <c r="G25" s="4"/>
      <c r="H25" s="55"/>
      <c r="I25" s="4"/>
      <c r="J25" s="4"/>
      <c r="K25" s="4"/>
      <c r="L25" s="4"/>
      <c r="M25" s="4"/>
      <c r="N25" s="4"/>
      <c r="O25" s="4"/>
      <c r="P25" s="5"/>
      <c r="Q25"/>
      <c r="R25"/>
    </row>
    <row r="26" spans="2:22" x14ac:dyDescent="0.25">
      <c r="B26" s="34"/>
      <c r="C26" s="94"/>
      <c r="D26" s="36"/>
      <c r="E26" s="36"/>
      <c r="F26" s="36"/>
      <c r="G26" s="36"/>
      <c r="H26" s="36"/>
      <c r="I26" s="44"/>
      <c r="J26" s="36"/>
      <c r="K26" s="44"/>
      <c r="L26" s="36"/>
      <c r="M26" s="36"/>
      <c r="N26" s="36"/>
      <c r="O26" s="36"/>
      <c r="P26" s="37"/>
      <c r="Q26"/>
      <c r="R26" s="105" t="s">
        <v>137</v>
      </c>
    </row>
    <row r="27" spans="2:22" x14ac:dyDescent="0.25">
      <c r="B27" s="34"/>
      <c r="C27" s="35" t="s">
        <v>311</v>
      </c>
      <c r="D27" s="36"/>
      <c r="E27" s="36"/>
      <c r="F27" s="36"/>
      <c r="G27" s="36"/>
      <c r="H27"/>
      <c r="I27" s="44"/>
      <c r="J27"/>
      <c r="K27" s="44"/>
      <c r="L27" s="36"/>
      <c r="O27" s="71" t="s">
        <v>62</v>
      </c>
      <c r="P27" s="37"/>
      <c r="Q27"/>
      <c r="R27" t="s">
        <v>306</v>
      </c>
    </row>
    <row r="28" spans="2:22" ht="15.75" thickBot="1" x14ac:dyDescent="0.3">
      <c r="B28" s="68"/>
      <c r="C28" s="48" t="s">
        <v>56</v>
      </c>
      <c r="D28" s="48" t="s">
        <v>55</v>
      </c>
      <c r="E28" s="50"/>
      <c r="F28" s="48"/>
      <c r="G28" s="48"/>
      <c r="H28" s="48" t="s">
        <v>107</v>
      </c>
      <c r="I28" s="78" t="s">
        <v>108</v>
      </c>
      <c r="J28" s="69"/>
      <c r="K28" s="82" t="s">
        <v>110</v>
      </c>
      <c r="L28" s="48"/>
      <c r="M28" s="48" t="s">
        <v>109</v>
      </c>
      <c r="N28" s="48"/>
      <c r="O28" s="48" t="s">
        <v>19</v>
      </c>
      <c r="P28" s="70"/>
      <c r="Q28"/>
      <c r="R28" s="1" t="s">
        <v>308</v>
      </c>
    </row>
    <row r="29" spans="2:22" x14ac:dyDescent="0.25">
      <c r="B29" s="84"/>
      <c r="C29" s="85"/>
      <c r="D29" s="86" t="s">
        <v>302</v>
      </c>
      <c r="E29" s="85"/>
      <c r="F29" s="85"/>
      <c r="G29" s="85"/>
      <c r="H29" s="86" t="s">
        <v>60</v>
      </c>
      <c r="I29" s="89"/>
      <c r="J29" s="9"/>
      <c r="K29" s="87">
        <f>SUM(Input!I80)</f>
        <v>0</v>
      </c>
      <c r="L29" s="86"/>
      <c r="M29" s="86"/>
      <c r="N29" s="86"/>
      <c r="O29" s="86"/>
      <c r="P29" s="99"/>
      <c r="Q29"/>
      <c r="R29" s="66" t="s">
        <v>310</v>
      </c>
    </row>
    <row r="30" spans="2:22" x14ac:dyDescent="0.25">
      <c r="B30" s="84"/>
      <c r="C30" s="85"/>
      <c r="D30" s="11" t="str">
        <f>Basisgegevens!$D$13</f>
        <v>grondwerker</v>
      </c>
      <c r="E30" s="85"/>
      <c r="F30" s="85"/>
      <c r="G30" s="85"/>
      <c r="H30" s="86" t="s">
        <v>111</v>
      </c>
      <c r="I30" s="87">
        <v>1.5</v>
      </c>
      <c r="J30" s="9"/>
      <c r="K30" s="87">
        <f>K29/I30</f>
        <v>0</v>
      </c>
      <c r="L30" s="86"/>
      <c r="M30" s="98">
        <f>Basisgegevens!$M$13</f>
        <v>35</v>
      </c>
      <c r="N30" s="86"/>
      <c r="O30" s="81">
        <f>K30*M30</f>
        <v>0</v>
      </c>
      <c r="P30" s="99"/>
      <c r="Q30"/>
      <c r="R30" s="66" t="s">
        <v>315</v>
      </c>
    </row>
    <row r="31" spans="2:22" x14ac:dyDescent="0.25">
      <c r="B31" s="84"/>
      <c r="C31" s="85"/>
      <c r="D31" s="11" t="str">
        <f>Basisgegevens!$D$36</f>
        <v>hydraulische rupskraan 1 m³</v>
      </c>
      <c r="E31" s="85"/>
      <c r="F31" s="85"/>
      <c r="G31" s="85"/>
      <c r="H31" s="86" t="s">
        <v>111</v>
      </c>
      <c r="I31" s="87">
        <v>1.5</v>
      </c>
      <c r="J31" s="9"/>
      <c r="K31" s="87">
        <f>K29/I31</f>
        <v>0</v>
      </c>
      <c r="L31" s="86"/>
      <c r="M31" s="98">
        <f>Basisgegevens!$M$36</f>
        <v>70</v>
      </c>
      <c r="N31" s="86"/>
      <c r="O31" s="81">
        <f>K31*M31</f>
        <v>0</v>
      </c>
      <c r="P31" s="99"/>
      <c r="Q31"/>
      <c r="R31"/>
    </row>
    <row r="32" spans="2:22" customFormat="1" x14ac:dyDescent="0.25">
      <c r="B32" s="84"/>
      <c r="C32" s="85"/>
      <c r="D32" s="45" t="str">
        <f>Basisgegevens!$D$27</f>
        <v>tractor met hydraulische grondkar 6 m³</v>
      </c>
      <c r="E32" s="85"/>
      <c r="F32" s="85"/>
      <c r="G32" s="85"/>
      <c r="H32" s="100" t="s">
        <v>111</v>
      </c>
      <c r="I32" s="90">
        <v>5</v>
      </c>
      <c r="J32" s="9"/>
      <c r="K32" s="87">
        <f>K29/I32</f>
        <v>0</v>
      </c>
      <c r="L32" s="86"/>
      <c r="M32" s="98">
        <f>Basisgegevens!$M$27</f>
        <v>52</v>
      </c>
      <c r="N32" s="86"/>
      <c r="O32" s="81">
        <f>K32*M32</f>
        <v>0</v>
      </c>
      <c r="P32" s="99"/>
    </row>
    <row r="33" spans="2:22" customFormat="1" x14ac:dyDescent="0.25">
      <c r="B33" s="84"/>
      <c r="C33" s="85"/>
      <c r="D33" s="86" t="s">
        <v>304</v>
      </c>
      <c r="E33" s="85"/>
      <c r="F33" s="85"/>
      <c r="G33" s="85"/>
      <c r="H33" s="100" t="s">
        <v>168</v>
      </c>
      <c r="I33" s="90"/>
      <c r="J33" s="9"/>
      <c r="K33" s="87"/>
      <c r="L33" s="86"/>
      <c r="M33" s="98"/>
      <c r="N33" s="86"/>
      <c r="O33" s="81"/>
      <c r="P33" s="99"/>
      <c r="R33" s="43"/>
    </row>
    <row r="34" spans="2:22" customFormat="1" x14ac:dyDescent="0.25">
      <c r="B34" s="84"/>
      <c r="C34" s="85"/>
      <c r="D34" s="11" t="str">
        <f>Basisgegevens!$D$82</f>
        <v>teelaarde</v>
      </c>
      <c r="E34" s="85"/>
      <c r="F34" s="85"/>
      <c r="G34" s="85"/>
      <c r="H34" s="86" t="s">
        <v>168</v>
      </c>
      <c r="I34" s="87">
        <v>1</v>
      </c>
      <c r="J34" s="9"/>
      <c r="K34" s="87">
        <f>K29*2*1.5</f>
        <v>0</v>
      </c>
      <c r="L34" s="86"/>
      <c r="M34" s="98">
        <f>Basisgegevens!$M$82</f>
        <v>6.25</v>
      </c>
      <c r="N34" s="86"/>
      <c r="O34" s="81">
        <f>K34*M34</f>
        <v>0</v>
      </c>
      <c r="P34" s="99"/>
      <c r="R34" s="43"/>
    </row>
    <row r="35" spans="2:22" customFormat="1" x14ac:dyDescent="0.25">
      <c r="B35" s="84"/>
      <c r="C35" s="85"/>
      <c r="D35" s="10" t="s">
        <v>312</v>
      </c>
      <c r="E35" s="85"/>
      <c r="F35" s="85"/>
      <c r="G35" s="85"/>
      <c r="H35" s="86"/>
      <c r="I35" s="87"/>
      <c r="J35" s="9"/>
      <c r="K35" s="87"/>
      <c r="L35" s="86"/>
      <c r="M35" s="98"/>
      <c r="N35" s="86"/>
      <c r="O35" s="81"/>
      <c r="P35" s="99"/>
      <c r="R35" s="43"/>
    </row>
    <row r="36" spans="2:22" customFormat="1" x14ac:dyDescent="0.25">
      <c r="B36" s="84"/>
      <c r="C36" s="85"/>
      <c r="D36" s="11" t="str">
        <f>Basisgegevens!$D$131</f>
        <v>stortkosten bomen/takken</v>
      </c>
      <c r="E36" s="85"/>
      <c r="F36" s="85"/>
      <c r="G36" s="85"/>
      <c r="H36" s="86" t="s">
        <v>168</v>
      </c>
      <c r="I36" s="87">
        <v>1</v>
      </c>
      <c r="J36" s="9"/>
      <c r="K36" s="87">
        <f>K30*7.5</f>
        <v>0</v>
      </c>
      <c r="L36" s="86"/>
      <c r="M36" s="98">
        <f>Basisgegevens!$M$131</f>
        <v>40</v>
      </c>
      <c r="N36" s="86"/>
      <c r="O36" s="81">
        <f>K36*M36</f>
        <v>0</v>
      </c>
      <c r="P36" s="99"/>
      <c r="R36" s="1"/>
      <c r="S36" s="43"/>
      <c r="V36" s="1"/>
    </row>
    <row r="37" spans="2:22" x14ac:dyDescent="0.25">
      <c r="B37" s="73"/>
      <c r="C37" s="83"/>
      <c r="D37" s="83" t="s">
        <v>22</v>
      </c>
      <c r="E37" s="83"/>
      <c r="F37" s="83"/>
      <c r="G37" s="83"/>
      <c r="H37" s="83" t="str">
        <f>H29</f>
        <v>st</v>
      </c>
      <c r="I37" s="80"/>
      <c r="J37" s="83"/>
      <c r="K37" s="80">
        <f>K29</f>
        <v>0</v>
      </c>
      <c r="L37" s="83"/>
      <c r="M37" s="103" t="e">
        <f>O37/K29</f>
        <v>#DIV/0!</v>
      </c>
      <c r="N37" s="83"/>
      <c r="O37" s="103">
        <f>SUM(O30:O36)</f>
        <v>0</v>
      </c>
      <c r="P37" s="104"/>
      <c r="Q37"/>
      <c r="R37" s="43"/>
    </row>
    <row r="38" spans="2:22" ht="5.0999999999999996" customHeight="1" thickBot="1" x14ac:dyDescent="0.3">
      <c r="B38" s="12"/>
      <c r="C38" s="13"/>
      <c r="D38" s="13"/>
      <c r="E38" s="13"/>
      <c r="F38" s="13"/>
      <c r="G38" s="13"/>
      <c r="H38" s="13"/>
      <c r="I38" s="15"/>
      <c r="J38" s="13"/>
      <c r="K38" s="15"/>
      <c r="L38" s="13"/>
      <c r="M38" s="13"/>
      <c r="N38" s="13"/>
      <c r="O38" s="13"/>
      <c r="P38" s="14"/>
      <c r="Q38"/>
      <c r="R38"/>
    </row>
    <row r="39" spans="2:22" ht="30" customHeight="1" thickBot="1" x14ac:dyDescent="0.3"/>
    <row r="40" spans="2:22" ht="5.0999999999999996" customHeight="1" x14ac:dyDescent="0.25">
      <c r="B40" s="3"/>
      <c r="C40" s="4"/>
      <c r="D40" s="4"/>
      <c r="E40" s="4"/>
      <c r="F40" s="4"/>
      <c r="G40" s="4"/>
      <c r="H40" s="55"/>
      <c r="I40" s="4"/>
      <c r="J40" s="4"/>
      <c r="K40" s="4"/>
      <c r="L40" s="4"/>
      <c r="M40" s="4"/>
      <c r="N40" s="4"/>
      <c r="O40" s="4"/>
      <c r="P40" s="5"/>
      <c r="Q40"/>
      <c r="R40"/>
    </row>
    <row r="41" spans="2:22" x14ac:dyDescent="0.25">
      <c r="B41" s="34"/>
      <c r="C41" s="94"/>
      <c r="D41" s="36"/>
      <c r="E41" s="36"/>
      <c r="F41" s="36"/>
      <c r="G41" s="36"/>
      <c r="H41" s="36"/>
      <c r="I41" s="44"/>
      <c r="J41" s="36"/>
      <c r="K41" s="44"/>
      <c r="L41" s="36"/>
      <c r="M41" s="36"/>
      <c r="N41" s="36"/>
      <c r="O41" s="36"/>
      <c r="P41" s="37"/>
      <c r="Q41"/>
      <c r="R41" s="105" t="s">
        <v>137</v>
      </c>
    </row>
    <row r="42" spans="2:22" x14ac:dyDescent="0.25">
      <c r="B42" s="34"/>
      <c r="C42" s="35" t="s">
        <v>317</v>
      </c>
      <c r="D42" s="36"/>
      <c r="E42" s="36"/>
      <c r="F42" s="36"/>
      <c r="G42" s="36"/>
      <c r="H42"/>
      <c r="I42" s="44"/>
      <c r="J42"/>
      <c r="K42" s="44"/>
      <c r="L42" s="36"/>
      <c r="O42" s="71" t="s">
        <v>62</v>
      </c>
      <c r="P42" s="37"/>
      <c r="Q42"/>
      <c r="R42" s="1" t="s">
        <v>319</v>
      </c>
    </row>
    <row r="43" spans="2:22" ht="15.75" thickBot="1" x14ac:dyDescent="0.3">
      <c r="B43" s="68"/>
      <c r="C43" s="48" t="s">
        <v>56</v>
      </c>
      <c r="D43" s="48" t="s">
        <v>55</v>
      </c>
      <c r="E43" s="50"/>
      <c r="F43" s="48"/>
      <c r="G43" s="48"/>
      <c r="H43" s="48" t="s">
        <v>107</v>
      </c>
      <c r="I43" s="78" t="s">
        <v>108</v>
      </c>
      <c r="J43" s="69"/>
      <c r="K43" s="82" t="s">
        <v>110</v>
      </c>
      <c r="L43" s="48"/>
      <c r="M43" s="48" t="s">
        <v>109</v>
      </c>
      <c r="N43" s="48"/>
      <c r="O43" s="48" t="s">
        <v>19</v>
      </c>
      <c r="P43" s="70"/>
      <c r="Q43"/>
      <c r="R43" s="1" t="s">
        <v>316</v>
      </c>
    </row>
    <row r="44" spans="2:22" x14ac:dyDescent="0.25">
      <c r="B44" s="84"/>
      <c r="C44" s="85"/>
      <c r="D44" s="86" t="s">
        <v>57</v>
      </c>
      <c r="E44" s="85"/>
      <c r="F44" s="85"/>
      <c r="G44" s="85"/>
      <c r="H44" s="86" t="s">
        <v>59</v>
      </c>
      <c r="I44" s="89"/>
      <c r="J44" s="9"/>
      <c r="K44" s="87">
        <f>SUM(Input!G82)</f>
        <v>0</v>
      </c>
      <c r="L44" s="86"/>
      <c r="M44" s="86"/>
      <c r="N44" s="86"/>
      <c r="O44" s="86"/>
      <c r="P44" s="99"/>
      <c r="Q44"/>
      <c r="R44" t="s">
        <v>318</v>
      </c>
    </row>
    <row r="45" spans="2:22" x14ac:dyDescent="0.25">
      <c r="B45" s="84"/>
      <c r="C45" s="85"/>
      <c r="D45" s="11" t="str">
        <f>Basisgegevens!$D$13</f>
        <v>grondwerker</v>
      </c>
      <c r="E45" s="85"/>
      <c r="F45" s="85"/>
      <c r="G45" s="85"/>
      <c r="H45" s="86" t="s">
        <v>111</v>
      </c>
      <c r="I45" s="87">
        <v>100</v>
      </c>
      <c r="J45" s="9"/>
      <c r="K45" s="87">
        <f>K44/I45</f>
        <v>0</v>
      </c>
      <c r="L45" s="86"/>
      <c r="M45" s="98">
        <f>Basisgegevens!$M$13</f>
        <v>35</v>
      </c>
      <c r="N45" s="86"/>
      <c r="O45" s="81">
        <f>K45*M45</f>
        <v>0</v>
      </c>
      <c r="P45" s="99"/>
      <c r="Q45"/>
    </row>
    <row r="46" spans="2:22" customFormat="1" x14ac:dyDescent="0.25">
      <c r="B46" s="84"/>
      <c r="C46" s="85"/>
      <c r="D46" s="45" t="str">
        <f>Basisgegevens!$D$28</f>
        <v>tractor met grondbewerkingsmachine</v>
      </c>
      <c r="E46" s="85"/>
      <c r="F46" s="85"/>
      <c r="G46" s="85"/>
      <c r="H46" s="100" t="s">
        <v>111</v>
      </c>
      <c r="I46" s="90">
        <v>100</v>
      </c>
      <c r="J46" s="9"/>
      <c r="K46" s="87">
        <f>K44/I46</f>
        <v>0</v>
      </c>
      <c r="L46" s="86"/>
      <c r="M46" s="98">
        <f>Basisgegevens!$M$28</f>
        <v>52</v>
      </c>
      <c r="N46" s="86"/>
      <c r="O46" s="81">
        <f>K46*M46</f>
        <v>0</v>
      </c>
      <c r="P46" s="99"/>
    </row>
    <row r="47" spans="2:22" customFormat="1" x14ac:dyDescent="0.25">
      <c r="B47" s="84"/>
      <c r="C47" s="85"/>
      <c r="D47" s="86" t="s">
        <v>304</v>
      </c>
      <c r="E47" s="85"/>
      <c r="F47" s="85"/>
      <c r="G47" s="85"/>
      <c r="H47" s="100" t="s">
        <v>168</v>
      </c>
      <c r="I47" s="90"/>
      <c r="J47" s="9"/>
      <c r="K47" s="87"/>
      <c r="L47" s="86"/>
      <c r="M47" s="98"/>
      <c r="N47" s="86"/>
      <c r="O47" s="81"/>
      <c r="P47" s="99"/>
      <c r="R47" s="43"/>
    </row>
    <row r="48" spans="2:22" customFormat="1" x14ac:dyDescent="0.25">
      <c r="B48" s="84"/>
      <c r="C48" s="85"/>
      <c r="D48" s="11" t="str">
        <f>Basisgegevens!$D$82</f>
        <v>teelaarde</v>
      </c>
      <c r="E48" s="85"/>
      <c r="F48" s="85"/>
      <c r="G48" s="85"/>
      <c r="H48" s="86" t="s">
        <v>168</v>
      </c>
      <c r="I48" s="87">
        <v>1</v>
      </c>
      <c r="J48" s="9"/>
      <c r="K48" s="87">
        <f>K44*0.1*1.5</f>
        <v>0</v>
      </c>
      <c r="L48" s="86"/>
      <c r="M48" s="98">
        <f>Basisgegevens!$M$82</f>
        <v>6.25</v>
      </c>
      <c r="N48" s="86"/>
      <c r="O48" s="81">
        <f>K48*M48</f>
        <v>0</v>
      </c>
      <c r="P48" s="99"/>
      <c r="R48" s="43"/>
    </row>
    <row r="49" spans="2:22" customFormat="1" x14ac:dyDescent="0.25">
      <c r="B49" s="84"/>
      <c r="C49" s="85"/>
      <c r="D49" s="10" t="s">
        <v>312</v>
      </c>
      <c r="E49" s="85"/>
      <c r="F49" s="85"/>
      <c r="G49" s="85"/>
      <c r="H49" s="86"/>
      <c r="I49" s="87"/>
      <c r="J49" s="9"/>
      <c r="K49" s="87"/>
      <c r="L49" s="86"/>
      <c r="M49" s="98"/>
      <c r="N49" s="86"/>
      <c r="O49" s="81"/>
      <c r="P49" s="99"/>
      <c r="R49" s="43"/>
    </row>
    <row r="50" spans="2:22" customFormat="1" x14ac:dyDescent="0.25">
      <c r="B50" s="84"/>
      <c r="C50" s="85"/>
      <c r="D50" s="11" t="str">
        <f>Basisgegevens!$D$131</f>
        <v>stortkosten bomen/takken</v>
      </c>
      <c r="E50" s="85"/>
      <c r="F50" s="85"/>
      <c r="G50" s="85"/>
      <c r="H50" s="86" t="s">
        <v>168</v>
      </c>
      <c r="I50" s="87">
        <v>1</v>
      </c>
      <c r="J50" s="9"/>
      <c r="K50" s="87">
        <f>K44*0.02</f>
        <v>0</v>
      </c>
      <c r="L50" s="86"/>
      <c r="M50" s="98">
        <f>Basisgegevens!$M$131</f>
        <v>40</v>
      </c>
      <c r="N50" s="86"/>
      <c r="O50" s="81">
        <f>K50*M50</f>
        <v>0</v>
      </c>
      <c r="P50" s="99"/>
      <c r="R50" s="1"/>
      <c r="S50" s="43"/>
      <c r="V50" s="1"/>
    </row>
    <row r="51" spans="2:22" x14ac:dyDescent="0.25">
      <c r="B51" s="73"/>
      <c r="C51" s="83"/>
      <c r="D51" s="83" t="s">
        <v>22</v>
      </c>
      <c r="E51" s="83"/>
      <c r="F51" s="83"/>
      <c r="G51" s="83"/>
      <c r="H51" s="83" t="str">
        <f>H44</f>
        <v>m2</v>
      </c>
      <c r="I51" s="80"/>
      <c r="J51" s="83"/>
      <c r="K51" s="80">
        <f>K44</f>
        <v>0</v>
      </c>
      <c r="L51" s="83"/>
      <c r="M51" s="103" t="e">
        <f>O51/K44</f>
        <v>#DIV/0!</v>
      </c>
      <c r="N51" s="83"/>
      <c r="O51" s="103">
        <f>SUM(O45:O50)</f>
        <v>0</v>
      </c>
      <c r="P51" s="104"/>
      <c r="Q51"/>
    </row>
    <row r="52" spans="2:22" ht="5.0999999999999996" customHeight="1" thickBot="1" x14ac:dyDescent="0.3">
      <c r="B52" s="12"/>
      <c r="C52" s="13"/>
      <c r="D52" s="13"/>
      <c r="E52" s="13"/>
      <c r="F52" s="13"/>
      <c r="G52" s="13"/>
      <c r="H52" s="13"/>
      <c r="I52" s="15"/>
      <c r="J52" s="13"/>
      <c r="K52" s="15"/>
      <c r="L52" s="13"/>
      <c r="M52" s="13"/>
      <c r="N52" s="13"/>
      <c r="O52" s="13"/>
      <c r="P52" s="14"/>
      <c r="Q52"/>
      <c r="R52"/>
    </row>
    <row r="53" spans="2:22" customFormat="1" ht="30" customHeight="1" thickBot="1" x14ac:dyDescent="0.3">
      <c r="I53" s="17"/>
      <c r="K53" s="17"/>
    </row>
    <row r="54" spans="2:22" customFormat="1" ht="5.0999999999999996" customHeight="1" x14ac:dyDescent="0.25">
      <c r="B54" s="30"/>
      <c r="C54" s="31"/>
      <c r="D54" s="32"/>
      <c r="E54" s="32"/>
      <c r="F54" s="32"/>
      <c r="G54" s="32"/>
      <c r="H54" s="32"/>
      <c r="I54" s="77"/>
      <c r="J54" s="32"/>
      <c r="K54" s="77"/>
      <c r="L54" s="32"/>
      <c r="M54" s="32"/>
      <c r="N54" s="32"/>
      <c r="O54" s="32"/>
      <c r="P54" s="33"/>
    </row>
    <row r="55" spans="2:22" customFormat="1" x14ac:dyDescent="0.25">
      <c r="B55" s="34"/>
      <c r="C55" s="35" t="s">
        <v>420</v>
      </c>
      <c r="D55" s="36"/>
      <c r="E55" s="36"/>
      <c r="F55" s="36"/>
      <c r="G55" s="36"/>
      <c r="I55" s="44"/>
      <c r="K55" s="44"/>
      <c r="L55" s="36"/>
      <c r="M55" s="1"/>
      <c r="N55" s="1"/>
      <c r="O55" s="71" t="s">
        <v>62</v>
      </c>
      <c r="P55" s="37"/>
      <c r="R55" s="105" t="s">
        <v>137</v>
      </c>
    </row>
    <row r="56" spans="2:22" customFormat="1" ht="15.75" thickBot="1" x14ac:dyDescent="0.3">
      <c r="B56" s="68"/>
      <c r="C56" s="48" t="s">
        <v>56</v>
      </c>
      <c r="D56" s="48" t="s">
        <v>55</v>
      </c>
      <c r="E56" s="50"/>
      <c r="F56" s="48"/>
      <c r="G56" s="48"/>
      <c r="H56" s="48" t="s">
        <v>107</v>
      </c>
      <c r="I56" s="78" t="s">
        <v>108</v>
      </c>
      <c r="J56" s="69"/>
      <c r="K56" s="82" t="s">
        <v>110</v>
      </c>
      <c r="L56" s="48"/>
      <c r="M56" s="48" t="s">
        <v>109</v>
      </c>
      <c r="N56" s="48"/>
      <c r="O56" s="48" t="s">
        <v>19</v>
      </c>
      <c r="P56" s="70"/>
      <c r="R56" t="s">
        <v>422</v>
      </c>
    </row>
    <row r="57" spans="2:22" customFormat="1" x14ac:dyDescent="0.25">
      <c r="B57" s="6"/>
      <c r="C57" s="1"/>
      <c r="D57" s="1" t="s">
        <v>421</v>
      </c>
      <c r="E57" s="1"/>
      <c r="F57" s="1"/>
      <c r="G57" s="1"/>
      <c r="H57" s="1" t="s">
        <v>59</v>
      </c>
      <c r="I57" s="79"/>
      <c r="J57" s="72"/>
      <c r="K57" s="79">
        <f>SUM(Input!G83)</f>
        <v>0</v>
      </c>
      <c r="L57" s="1"/>
      <c r="N57" s="1"/>
      <c r="O57" s="57"/>
      <c r="P57" s="8"/>
    </row>
    <row r="58" spans="2:22" customFormat="1" x14ac:dyDescent="0.25">
      <c r="B58" s="6"/>
      <c r="C58" s="1"/>
      <c r="D58" s="11" t="str">
        <f>Basisgegevens!D28</f>
        <v>tractor met grondbewerkingsmachine</v>
      </c>
      <c r="E58" s="1"/>
      <c r="F58" s="1"/>
      <c r="G58" s="1"/>
      <c r="H58" s="1" t="s">
        <v>111</v>
      </c>
      <c r="I58" s="79">
        <v>125</v>
      </c>
      <c r="J58" s="72"/>
      <c r="K58" s="79">
        <f>K57/I58</f>
        <v>0</v>
      </c>
      <c r="L58" s="1"/>
      <c r="M58" s="57">
        <f>Basisgegevens!M28</f>
        <v>52</v>
      </c>
      <c r="N58" s="1"/>
      <c r="O58" s="57">
        <f>K58*M58</f>
        <v>0</v>
      </c>
      <c r="P58" s="8"/>
    </row>
    <row r="59" spans="2:22" customFormat="1" x14ac:dyDescent="0.25">
      <c r="B59" s="73"/>
      <c r="C59" s="74"/>
      <c r="D59" s="74" t="s">
        <v>22</v>
      </c>
      <c r="E59" s="74"/>
      <c r="F59" s="74"/>
      <c r="G59" s="74"/>
      <c r="H59" s="74" t="s">
        <v>59</v>
      </c>
      <c r="I59" s="80"/>
      <c r="J59" s="74"/>
      <c r="K59" s="80">
        <f>K57</f>
        <v>0</v>
      </c>
      <c r="L59" s="74"/>
      <c r="M59" s="76" t="e">
        <f>O59/K57</f>
        <v>#DIV/0!</v>
      </c>
      <c r="N59" s="74"/>
      <c r="O59" s="76">
        <f>O58</f>
        <v>0</v>
      </c>
      <c r="P59" s="75"/>
    </row>
    <row r="60" spans="2:22" customFormat="1" ht="5.0999999999999996" customHeight="1" thickBot="1" x14ac:dyDescent="0.3">
      <c r="B60" s="12"/>
      <c r="C60" s="13"/>
      <c r="D60" s="13"/>
      <c r="E60" s="13"/>
      <c r="F60" s="13"/>
      <c r="G60" s="13"/>
      <c r="H60" s="13"/>
      <c r="I60" s="15"/>
      <c r="J60" s="13"/>
      <c r="K60" s="15"/>
      <c r="L60" s="13"/>
      <c r="M60" s="13"/>
      <c r="N60" s="13"/>
      <c r="O60" s="13"/>
      <c r="P60" s="14"/>
    </row>
    <row r="61" spans="2:22" ht="30" customHeight="1" thickBot="1" x14ac:dyDescent="0.3"/>
    <row r="62" spans="2:22" ht="5.0999999999999996" customHeight="1" x14ac:dyDescent="0.25">
      <c r="B62" s="3"/>
      <c r="C62" s="4"/>
      <c r="D62" s="4"/>
      <c r="E62" s="4"/>
      <c r="F62" s="4"/>
      <c r="G62" s="4"/>
      <c r="H62" s="55"/>
      <c r="I62" s="4"/>
      <c r="J62" s="4"/>
      <c r="K62" s="4"/>
      <c r="L62" s="4"/>
      <c r="M62" s="4"/>
      <c r="N62" s="4"/>
      <c r="O62" s="4"/>
      <c r="P62" s="5"/>
      <c r="Q62"/>
      <c r="R62"/>
    </row>
    <row r="63" spans="2:22" x14ac:dyDescent="0.25">
      <c r="B63" s="34"/>
      <c r="C63" s="94"/>
      <c r="D63" s="36"/>
      <c r="E63" s="36"/>
      <c r="F63" s="36"/>
      <c r="G63" s="36"/>
      <c r="H63" s="36"/>
      <c r="I63" s="44"/>
      <c r="J63" s="36"/>
      <c r="K63" s="44"/>
      <c r="L63" s="36"/>
      <c r="M63" s="36"/>
      <c r="N63" s="36"/>
      <c r="O63" s="36"/>
      <c r="P63" s="37"/>
      <c r="Q63"/>
      <c r="R63" s="105" t="s">
        <v>137</v>
      </c>
    </row>
    <row r="64" spans="2:22" x14ac:dyDescent="0.25">
      <c r="B64" s="34"/>
      <c r="C64" s="35" t="s">
        <v>320</v>
      </c>
      <c r="D64" s="36"/>
      <c r="E64" s="36"/>
      <c r="F64" s="36"/>
      <c r="G64" s="36"/>
      <c r="H64"/>
      <c r="I64" s="44"/>
      <c r="J64"/>
      <c r="K64" s="44"/>
      <c r="L64" s="36"/>
      <c r="O64" s="71" t="s">
        <v>62</v>
      </c>
      <c r="P64" s="37"/>
      <c r="Q64"/>
      <c r="R64" s="1" t="s">
        <v>321</v>
      </c>
    </row>
    <row r="65" spans="2:18" ht="15.75" thickBot="1" x14ac:dyDescent="0.3">
      <c r="B65" s="68"/>
      <c r="C65" s="48" t="s">
        <v>56</v>
      </c>
      <c r="D65" s="48" t="s">
        <v>55</v>
      </c>
      <c r="E65" s="50"/>
      <c r="F65" s="48"/>
      <c r="G65" s="48"/>
      <c r="H65" s="48" t="s">
        <v>107</v>
      </c>
      <c r="I65" s="78" t="s">
        <v>108</v>
      </c>
      <c r="J65" s="69"/>
      <c r="K65" s="82" t="s">
        <v>110</v>
      </c>
      <c r="L65" s="48"/>
      <c r="M65" s="48" t="s">
        <v>109</v>
      </c>
      <c r="N65" s="48"/>
      <c r="O65" s="48" t="s">
        <v>19</v>
      </c>
      <c r="P65" s="70"/>
      <c r="Q65"/>
      <c r="R65" s="1" t="s">
        <v>323</v>
      </c>
    </row>
    <row r="66" spans="2:18" s="2" customFormat="1" x14ac:dyDescent="0.25">
      <c r="B66" s="42"/>
      <c r="C66" s="47"/>
      <c r="D66" s="47" t="s">
        <v>322</v>
      </c>
      <c r="E66" s="91"/>
      <c r="F66" s="47"/>
      <c r="G66" s="47"/>
      <c r="H66" s="47" t="s">
        <v>59</v>
      </c>
      <c r="I66" s="86"/>
      <c r="K66" s="87">
        <f>Input!G92</f>
        <v>0</v>
      </c>
      <c r="L66" s="47"/>
      <c r="M66" s="47"/>
      <c r="N66" s="47"/>
      <c r="O66" s="47"/>
      <c r="P66" s="92"/>
      <c r="Q66" s="28"/>
    </row>
    <row r="67" spans="2:18" s="2" customFormat="1" x14ac:dyDescent="0.25">
      <c r="B67" s="42"/>
      <c r="C67" s="47"/>
      <c r="D67" s="45" t="str">
        <f>Basisgegevens!$D$28</f>
        <v>tractor met grondbewerkingsmachine</v>
      </c>
      <c r="E67" s="91"/>
      <c r="F67" s="47"/>
      <c r="G67" s="47"/>
      <c r="H67" s="47" t="s">
        <v>111</v>
      </c>
      <c r="I67" s="87">
        <v>50</v>
      </c>
      <c r="K67" s="87">
        <f>K66/I67</f>
        <v>0</v>
      </c>
      <c r="L67" s="47"/>
      <c r="M67" s="119">
        <f>Basisgegevens!$M$28</f>
        <v>52</v>
      </c>
      <c r="N67" s="47"/>
      <c r="O67" s="98">
        <f>K67*M67</f>
        <v>0</v>
      </c>
      <c r="P67" s="92"/>
      <c r="Q67" s="28"/>
    </row>
    <row r="68" spans="2:18" x14ac:dyDescent="0.25">
      <c r="B68" s="84"/>
      <c r="C68" s="85"/>
      <c r="D68" s="11" t="str">
        <f>Basisgegevens!$D$13</f>
        <v>grondwerker</v>
      </c>
      <c r="E68" s="85"/>
      <c r="F68" s="85"/>
      <c r="G68" s="85"/>
      <c r="H68" s="86" t="s">
        <v>111</v>
      </c>
      <c r="I68" s="87">
        <v>50</v>
      </c>
      <c r="J68" s="9"/>
      <c r="K68" s="87">
        <f>K66/I68</f>
        <v>0</v>
      </c>
      <c r="L68" s="86"/>
      <c r="M68" s="98">
        <f>Basisgegevens!$M$13</f>
        <v>35</v>
      </c>
      <c r="N68" s="86"/>
      <c r="O68" s="81">
        <f>K68*M68</f>
        <v>0</v>
      </c>
      <c r="P68" s="99"/>
      <c r="Q68"/>
    </row>
    <row r="69" spans="2:18" s="2" customFormat="1" x14ac:dyDescent="0.25">
      <c r="B69" s="42"/>
      <c r="C69" s="47"/>
      <c r="D69" s="47" t="s">
        <v>304</v>
      </c>
      <c r="E69" s="91"/>
      <c r="F69" s="47"/>
      <c r="G69" s="47"/>
      <c r="H69" s="121" t="s">
        <v>168</v>
      </c>
      <c r="L69" s="47"/>
      <c r="M69" s="47"/>
      <c r="N69" s="47"/>
      <c r="O69" s="98"/>
      <c r="P69" s="92"/>
      <c r="Q69" s="28"/>
    </row>
    <row r="70" spans="2:18" s="2" customFormat="1" x14ac:dyDescent="0.25">
      <c r="B70" s="42"/>
      <c r="C70" s="47"/>
      <c r="D70" s="45" t="str">
        <f>Basisgegevens!D82</f>
        <v>teelaarde</v>
      </c>
      <c r="E70" s="91"/>
      <c r="F70" s="47"/>
      <c r="G70" s="47"/>
      <c r="H70" s="121" t="s">
        <v>168</v>
      </c>
      <c r="I70" s="87">
        <v>1</v>
      </c>
      <c r="K70" s="87">
        <f>K66*0.05*1.5</f>
        <v>0</v>
      </c>
      <c r="L70" s="47"/>
      <c r="M70" s="119">
        <f>Basisgegevens!M82</f>
        <v>6.25</v>
      </c>
      <c r="N70" s="47"/>
      <c r="O70" s="98">
        <f>K70*M70</f>
        <v>0</v>
      </c>
      <c r="P70" s="92"/>
      <c r="Q70" s="28"/>
    </row>
    <row r="71" spans="2:18" s="2" customFormat="1" x14ac:dyDescent="0.25">
      <c r="B71" s="42"/>
      <c r="C71" s="47"/>
      <c r="D71" s="47" t="s">
        <v>324</v>
      </c>
      <c r="E71" s="91"/>
      <c r="F71" s="47"/>
      <c r="G71" s="47"/>
      <c r="H71" s="121" t="s">
        <v>59</v>
      </c>
      <c r="I71" s="86"/>
      <c r="K71" s="9"/>
      <c r="L71" s="47"/>
      <c r="M71" s="47"/>
      <c r="N71" s="47"/>
      <c r="O71" s="98"/>
      <c r="P71" s="92"/>
      <c r="Q71" s="28"/>
    </row>
    <row r="72" spans="2:18" s="2" customFormat="1" x14ac:dyDescent="0.25">
      <c r="B72" s="42"/>
      <c r="C72" s="47"/>
      <c r="D72" s="45" t="str">
        <f>Basisgegevens!$D$132</f>
        <v>rolzoden</v>
      </c>
      <c r="E72" s="91"/>
      <c r="F72" s="47"/>
      <c r="G72" s="47"/>
      <c r="H72" s="121" t="s">
        <v>59</v>
      </c>
      <c r="I72" s="86">
        <v>1</v>
      </c>
      <c r="K72" s="87">
        <f>K66</f>
        <v>0</v>
      </c>
      <c r="L72" s="47"/>
      <c r="M72" s="119">
        <f>Basisgegevens!$M$132</f>
        <v>2</v>
      </c>
      <c r="N72" s="47"/>
      <c r="O72" s="98">
        <f>K72*M72</f>
        <v>0</v>
      </c>
      <c r="P72" s="92"/>
      <c r="Q72" s="28"/>
    </row>
    <row r="73" spans="2:18" x14ac:dyDescent="0.25">
      <c r="B73" s="73"/>
      <c r="C73" s="83"/>
      <c r="D73" s="83" t="s">
        <v>22</v>
      </c>
      <c r="E73" s="83"/>
      <c r="F73" s="83"/>
      <c r="G73" s="83"/>
      <c r="H73" s="83" t="str">
        <f>H66</f>
        <v>m2</v>
      </c>
      <c r="I73" s="80"/>
      <c r="J73" s="83"/>
      <c r="K73" s="80">
        <f>K66</f>
        <v>0</v>
      </c>
      <c r="L73" s="83"/>
      <c r="M73" s="120" t="e">
        <f>O73/K66</f>
        <v>#DIV/0!</v>
      </c>
      <c r="N73" s="83"/>
      <c r="O73" s="103">
        <f>SUM(O67:O72)</f>
        <v>0</v>
      </c>
      <c r="P73" s="104"/>
      <c r="Q73"/>
    </row>
    <row r="74" spans="2:18" ht="4.5" customHeight="1" thickBot="1" x14ac:dyDescent="0.3">
      <c r="B74" s="12"/>
      <c r="C74" s="13"/>
      <c r="D74" s="13"/>
      <c r="E74" s="13"/>
      <c r="F74" s="13"/>
      <c r="G74" s="13"/>
      <c r="H74" s="13"/>
      <c r="I74" s="15"/>
      <c r="J74" s="13"/>
      <c r="K74" s="15"/>
      <c r="L74" s="13"/>
      <c r="M74" s="13"/>
      <c r="N74" s="13"/>
      <c r="O74" s="13"/>
      <c r="P74" s="14"/>
      <c r="Q74"/>
      <c r="R74"/>
    </row>
    <row r="75" spans="2:18" ht="30" customHeight="1" thickBot="1" x14ac:dyDescent="0.3"/>
    <row r="76" spans="2:18" ht="5.0999999999999996" customHeight="1" x14ac:dyDescent="0.25">
      <c r="B76" s="3"/>
      <c r="C76" s="4"/>
      <c r="D76" s="4"/>
      <c r="E76" s="4"/>
      <c r="F76" s="4"/>
      <c r="G76" s="4"/>
      <c r="H76" s="55"/>
      <c r="I76" s="4"/>
      <c r="J76" s="4"/>
      <c r="K76" s="4"/>
      <c r="L76" s="4"/>
      <c r="M76" s="4"/>
      <c r="N76" s="4"/>
      <c r="O76" s="4"/>
      <c r="P76" s="5"/>
      <c r="Q76"/>
      <c r="R76"/>
    </row>
    <row r="77" spans="2:18" x14ac:dyDescent="0.25">
      <c r="B77" s="34"/>
      <c r="C77" s="94"/>
      <c r="D77" s="36"/>
      <c r="E77" s="36"/>
      <c r="F77" s="36"/>
      <c r="G77" s="36"/>
      <c r="H77" s="36"/>
      <c r="I77" s="44"/>
      <c r="J77" s="36"/>
      <c r="K77" s="44"/>
      <c r="L77" s="36"/>
      <c r="M77" s="36"/>
      <c r="N77" s="36"/>
      <c r="O77" s="36"/>
      <c r="P77" s="37"/>
      <c r="Q77"/>
      <c r="R77" s="105" t="s">
        <v>137</v>
      </c>
    </row>
    <row r="78" spans="2:18" x14ac:dyDescent="0.25">
      <c r="B78" s="34"/>
      <c r="C78" s="35" t="s">
        <v>326</v>
      </c>
      <c r="D78" s="36"/>
      <c r="E78" s="36"/>
      <c r="F78" s="36"/>
      <c r="G78" s="36"/>
      <c r="H78"/>
      <c r="I78" s="44"/>
      <c r="J78"/>
      <c r="K78" s="44"/>
      <c r="L78" s="36"/>
      <c r="O78" s="71" t="s">
        <v>62</v>
      </c>
      <c r="P78" s="37"/>
      <c r="Q78"/>
      <c r="R78" s="1" t="s">
        <v>329</v>
      </c>
    </row>
    <row r="79" spans="2:18" ht="15.75" thickBot="1" x14ac:dyDescent="0.3">
      <c r="B79" s="68"/>
      <c r="C79" s="48" t="s">
        <v>56</v>
      </c>
      <c r="D79" s="48" t="s">
        <v>55</v>
      </c>
      <c r="E79" s="50"/>
      <c r="F79" s="48"/>
      <c r="G79" s="48"/>
      <c r="H79" s="48" t="s">
        <v>107</v>
      </c>
      <c r="I79" s="78" t="s">
        <v>108</v>
      </c>
      <c r="J79" s="69"/>
      <c r="K79" s="82" t="s">
        <v>110</v>
      </c>
      <c r="L79" s="48"/>
      <c r="M79" s="48" t="s">
        <v>109</v>
      </c>
      <c r="N79" s="48"/>
      <c r="O79" s="48" t="s">
        <v>19</v>
      </c>
      <c r="P79" s="70"/>
      <c r="Q79"/>
    </row>
    <row r="80" spans="2:18" s="2" customFormat="1" x14ac:dyDescent="0.25">
      <c r="B80" s="42"/>
      <c r="C80" s="47"/>
      <c r="D80" s="47" t="s">
        <v>327</v>
      </c>
      <c r="E80" s="91"/>
      <c r="F80" s="47"/>
      <c r="G80" s="47"/>
      <c r="H80" s="47" t="s">
        <v>60</v>
      </c>
      <c r="I80" s="86"/>
      <c r="K80" s="87">
        <f>SUM(Input!G90)</f>
        <v>0</v>
      </c>
      <c r="L80" s="47"/>
      <c r="M80" s="47"/>
      <c r="N80" s="47"/>
      <c r="O80" s="47"/>
      <c r="P80" s="92"/>
      <c r="Q80" s="28"/>
    </row>
    <row r="81" spans="2:18" x14ac:dyDescent="0.25">
      <c r="B81" s="84"/>
      <c r="C81" s="85"/>
      <c r="D81" s="11" t="str">
        <f>Basisgegevens!$D$13</f>
        <v>grondwerker</v>
      </c>
      <c r="E81" s="85"/>
      <c r="F81" s="85"/>
      <c r="G81" s="85"/>
      <c r="H81" s="86" t="s">
        <v>111</v>
      </c>
      <c r="I81" s="87">
        <v>2.25</v>
      </c>
      <c r="J81" s="9"/>
      <c r="K81" s="87">
        <f>K80/I81</f>
        <v>0</v>
      </c>
      <c r="L81" s="86"/>
      <c r="M81" s="98">
        <f>Basisgegevens!$M$13</f>
        <v>35</v>
      </c>
      <c r="N81" s="86"/>
      <c r="O81" s="81">
        <f>K81*M81</f>
        <v>0</v>
      </c>
      <c r="P81" s="99"/>
      <c r="Q81"/>
    </row>
    <row r="82" spans="2:18" s="2" customFormat="1" x14ac:dyDescent="0.25">
      <c r="B82" s="42"/>
      <c r="C82" s="47"/>
      <c r="D82" s="47" t="s">
        <v>328</v>
      </c>
      <c r="E82" s="91"/>
      <c r="F82" s="47"/>
      <c r="G82" s="47"/>
      <c r="H82" s="121" t="s">
        <v>168</v>
      </c>
      <c r="L82" s="47"/>
      <c r="M82" s="47"/>
      <c r="N82" s="47"/>
      <c r="O82" s="98"/>
      <c r="P82" s="92"/>
      <c r="Q82" s="28"/>
    </row>
    <row r="83" spans="2:18" s="2" customFormat="1" x14ac:dyDescent="0.25">
      <c r="B83" s="42"/>
      <c r="C83" s="47"/>
      <c r="D83" s="45" t="str">
        <f>Basisgegevens!$D$133</f>
        <v>boom gemiddeld, stamdiameter 14-16 cm</v>
      </c>
      <c r="E83" s="91"/>
      <c r="F83" s="47"/>
      <c r="G83" s="47"/>
      <c r="H83" s="121" t="s">
        <v>168</v>
      </c>
      <c r="I83" s="87">
        <v>1</v>
      </c>
      <c r="K83" s="87">
        <f>K80</f>
        <v>0</v>
      </c>
      <c r="L83" s="47"/>
      <c r="M83" s="119">
        <f>Basisgegevens!$M$133</f>
        <v>100</v>
      </c>
      <c r="N83" s="47"/>
      <c r="O83" s="98">
        <f>K83*M83</f>
        <v>0</v>
      </c>
      <c r="P83" s="92"/>
      <c r="Q83" s="28"/>
    </row>
    <row r="84" spans="2:18" s="2" customFormat="1" x14ac:dyDescent="0.25">
      <c r="B84" s="42"/>
      <c r="C84" s="47"/>
      <c r="D84" s="86" t="s">
        <v>325</v>
      </c>
      <c r="E84" s="91"/>
      <c r="F84" s="47"/>
      <c r="G84" s="47"/>
      <c r="H84" s="121" t="s">
        <v>60</v>
      </c>
      <c r="I84" s="87"/>
      <c r="K84" s="87"/>
      <c r="L84" s="47"/>
      <c r="M84" s="119"/>
      <c r="N84" s="47"/>
      <c r="O84" s="98"/>
      <c r="P84" s="92"/>
      <c r="Q84" s="28"/>
    </row>
    <row r="85" spans="2:18" s="2" customFormat="1" x14ac:dyDescent="0.25">
      <c r="B85" s="42"/>
      <c r="C85" s="47"/>
      <c r="D85" s="45" t="str">
        <f>Basisgegevens!$D$35</f>
        <v>hydraulische kraan 800 liter</v>
      </c>
      <c r="E85" s="91"/>
      <c r="F85" s="47"/>
      <c r="G85" s="47"/>
      <c r="H85" s="121" t="s">
        <v>111</v>
      </c>
      <c r="I85" s="87">
        <v>2.25</v>
      </c>
      <c r="K85" s="87">
        <f>K80/I85</f>
        <v>0</v>
      </c>
      <c r="L85" s="47"/>
      <c r="M85" s="119">
        <f>Basisgegevens!$M$35</f>
        <v>60</v>
      </c>
      <c r="N85" s="47"/>
      <c r="O85" s="98">
        <f>K85*M85</f>
        <v>0</v>
      </c>
      <c r="P85" s="92"/>
      <c r="Q85" s="28"/>
    </row>
    <row r="86" spans="2:18" s="2" customFormat="1" x14ac:dyDescent="0.25">
      <c r="B86" s="42"/>
      <c r="C86" s="47"/>
      <c r="D86" s="86" t="s">
        <v>331</v>
      </c>
      <c r="E86" s="91"/>
      <c r="F86" s="47"/>
      <c r="G86" s="47"/>
      <c r="H86" s="121" t="s">
        <v>168</v>
      </c>
      <c r="I86" s="87"/>
      <c r="K86" s="87"/>
      <c r="L86" s="47"/>
      <c r="M86" s="119"/>
      <c r="N86" s="47"/>
      <c r="O86" s="98"/>
      <c r="P86" s="92"/>
      <c r="Q86" s="28"/>
    </row>
    <row r="87" spans="2:18" s="2" customFormat="1" x14ac:dyDescent="0.25">
      <c r="B87" s="42"/>
      <c r="C87" s="47"/>
      <c r="D87" s="45" t="str">
        <f>Basisgegevens!D88</f>
        <v>bomenzand</v>
      </c>
      <c r="E87" s="91"/>
      <c r="F87" s="47"/>
      <c r="G87" s="47"/>
      <c r="H87" s="121" t="s">
        <v>168</v>
      </c>
      <c r="I87" s="87">
        <v>1</v>
      </c>
      <c r="K87" s="87">
        <f>K80*2.5*1.4</f>
        <v>0</v>
      </c>
      <c r="L87" s="47"/>
      <c r="M87" s="119">
        <f>Basisgegevens!M88</f>
        <v>40</v>
      </c>
      <c r="N87" s="47"/>
      <c r="O87" s="98">
        <f>K87*M87</f>
        <v>0</v>
      </c>
      <c r="P87" s="92"/>
      <c r="Q87" s="28"/>
    </row>
    <row r="88" spans="2:18" x14ac:dyDescent="0.25">
      <c r="B88" s="73"/>
      <c r="C88" s="83"/>
      <c r="D88" s="83" t="s">
        <v>22</v>
      </c>
      <c r="E88" s="83"/>
      <c r="F88" s="83"/>
      <c r="G88" s="83"/>
      <c r="H88" s="83" t="str">
        <f>H80</f>
        <v>st</v>
      </c>
      <c r="I88" s="80"/>
      <c r="J88" s="83"/>
      <c r="K88" s="80">
        <f>K80</f>
        <v>0</v>
      </c>
      <c r="L88" s="83"/>
      <c r="M88" s="120" t="e">
        <f>O88/K80</f>
        <v>#DIV/0!</v>
      </c>
      <c r="N88" s="83"/>
      <c r="O88" s="103">
        <f>SUM(O81:O87)</f>
        <v>0</v>
      </c>
      <c r="P88" s="104"/>
      <c r="Q88"/>
    </row>
    <row r="89" spans="2:18" ht="4.5" customHeight="1" thickBot="1" x14ac:dyDescent="0.3">
      <c r="B89" s="12"/>
      <c r="C89" s="13"/>
      <c r="D89" s="13"/>
      <c r="E89" s="13"/>
      <c r="F89" s="13"/>
      <c r="G89" s="13"/>
      <c r="H89" s="13"/>
      <c r="I89" s="15"/>
      <c r="J89" s="13"/>
      <c r="K89" s="15"/>
      <c r="L89" s="13"/>
      <c r="M89" s="13"/>
      <c r="N89" s="13"/>
      <c r="O89" s="13"/>
      <c r="P89" s="14"/>
      <c r="Q89"/>
      <c r="R89"/>
    </row>
  </sheetData>
  <sheetProtection selectLockedCells="1" selectUnlockedCells="1"/>
  <mergeCells count="1">
    <mergeCell ref="D6:E6"/>
  </mergeCells>
  <phoneticPr fontId="0" type="noConversion"/>
  <printOptions horizontalCentered="1"/>
  <pageMargins left="0.78740157480314965" right="0.59055118110236227" top="0.98425196850393704" bottom="0.98425196850393704" header="0.51181102362204722" footer="0.51181102362204722"/>
  <pageSetup paperSize="9" scale="85" orientation="portrait" r:id="rId1"/>
  <headerFooter alignWithMargins="0">
    <oddFooter>&amp;L&amp;G
projectnummer: 0509&amp;Rconcept: 11 april 2007
blad &amp;P van &amp;N</oddFooter>
  </headerFooter>
  <rowBreaks count="1" manualBreakCount="1">
    <brk id="60" min="1" max="15"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12</vt:i4>
      </vt:variant>
      <vt:variant>
        <vt:lpstr>Benoemde bereiken</vt:lpstr>
      </vt:variant>
      <vt:variant>
        <vt:i4>19</vt:i4>
      </vt:variant>
    </vt:vector>
  </HeadingPairs>
  <TitlesOfParts>
    <vt:vector size="31" baseType="lpstr">
      <vt:lpstr>Samenvatting</vt:lpstr>
      <vt:lpstr>Input</vt:lpstr>
      <vt:lpstr>Gebruiksaanwijzing</vt:lpstr>
      <vt:lpstr>Voorb. werkzaamheden</vt:lpstr>
      <vt:lpstr>Grondwerk</vt:lpstr>
      <vt:lpstr>Riolering</vt:lpstr>
      <vt:lpstr>Fundering</vt:lpstr>
      <vt:lpstr>Verharding</vt:lpstr>
      <vt:lpstr>Groen</vt:lpstr>
      <vt:lpstr>Basisgegevens</vt:lpstr>
      <vt:lpstr>Toets</vt:lpstr>
      <vt:lpstr>Picklist</vt:lpstr>
      <vt:lpstr>Basisgegevens!Afdrukbereik</vt:lpstr>
      <vt:lpstr>Fundering!Afdrukbereik</vt:lpstr>
      <vt:lpstr>Groen!Afdrukbereik</vt:lpstr>
      <vt:lpstr>Grondwerk!Afdrukbereik</vt:lpstr>
      <vt:lpstr>Input!Afdrukbereik</vt:lpstr>
      <vt:lpstr>Riolering!Afdrukbereik</vt:lpstr>
      <vt:lpstr>Samenvatting!Afdrukbereik</vt:lpstr>
      <vt:lpstr>Toets!Afdrukbereik</vt:lpstr>
      <vt:lpstr>Verharding!Afdrukbereik</vt:lpstr>
      <vt:lpstr>'Voorb. werkzaamheden'!Afdrukbereik</vt:lpstr>
      <vt:lpstr>Basisgegevens!Afdruktitels</vt:lpstr>
      <vt:lpstr>Fundering!Afdruktitels</vt:lpstr>
      <vt:lpstr>Groen!Afdruktitels</vt:lpstr>
      <vt:lpstr>Grondwerk!Afdruktitels</vt:lpstr>
      <vt:lpstr>Input!Afdruktitels</vt:lpstr>
      <vt:lpstr>Riolering!Afdruktitels</vt:lpstr>
      <vt:lpstr>Samenvatting!Afdruktitels</vt:lpstr>
      <vt:lpstr>Verharding!Afdruktitels</vt:lpstr>
      <vt:lpstr>'Voorb. werkzaamheden'!Afdruktitels</vt:lpstr>
    </vt:vector>
  </TitlesOfParts>
  <Company>Civil Support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Voorstel kengetallen meerjarenbegroting gemeente Vught</dc:title>
  <dc:creator>Rob van Kasteren</dc:creator>
  <cp:lastModifiedBy>Jos Gulden</cp:lastModifiedBy>
  <cp:lastPrinted>2007-04-11T08:47:35Z</cp:lastPrinted>
  <dcterms:created xsi:type="dcterms:W3CDTF">2006-12-15T09:55:03Z</dcterms:created>
  <dcterms:modified xsi:type="dcterms:W3CDTF">2018-03-27T11:41:24Z</dcterms:modified>
</cp:coreProperties>
</file>